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S" sheetId="1" r:id="rId1"/>
    <sheet name="BS" sheetId="2" r:id="rId2"/>
    <sheet name="EQUITY" sheetId="3" r:id="rId3"/>
    <sheet name="CASHFLOW" sheetId="4" r:id="rId4"/>
  </sheets>
  <definedNames>
    <definedName name="_xlnm.Print_Area" localSheetId="1">'BS'!$A$1:$K$59</definedName>
    <definedName name="_xlnm.Print_Area" localSheetId="3">'CASHFLOW'!$A$1:$L$64</definedName>
    <definedName name="_xlnm.Print_Area" localSheetId="2">'EQUITY'!$A$1:$Q$52</definedName>
    <definedName name="_xlnm.Print_Area" localSheetId="0">'IS'!$A$1:$O$52</definedName>
  </definedNames>
  <calcPr fullCalcOnLoad="1"/>
</workbook>
</file>

<file path=xl/sharedStrings.xml><?xml version="1.0" encoding="utf-8"?>
<sst xmlns="http://schemas.openxmlformats.org/spreadsheetml/2006/main" count="177" uniqueCount="138">
  <si>
    <t>(The figures have not been audited)</t>
  </si>
  <si>
    <t>Individual Quarter</t>
  </si>
  <si>
    <t>Cumulative Period</t>
  </si>
  <si>
    <t>Quarter</t>
  </si>
  <si>
    <t>Preceding Year</t>
  </si>
  <si>
    <t>Operating Revenue</t>
  </si>
  <si>
    <t>Cost of Sales</t>
  </si>
  <si>
    <t>Gross Profit</t>
  </si>
  <si>
    <t>Other Operating Income</t>
  </si>
  <si>
    <t>Administration Costs</t>
  </si>
  <si>
    <t>Amortisation Of  Goodwill</t>
  </si>
  <si>
    <t>Finance Costs</t>
  </si>
  <si>
    <t>Taxation</t>
  </si>
  <si>
    <t>Profit After Tax</t>
  </si>
  <si>
    <t>Pre-acquisition Profit</t>
  </si>
  <si>
    <t>Net  Profit for the Period</t>
  </si>
  <si>
    <t>Earnings per share (sen)</t>
  </si>
  <si>
    <t>RM'000</t>
  </si>
  <si>
    <t>(Unaudited)</t>
  </si>
  <si>
    <t>Audited</t>
  </si>
  <si>
    <t>Property, Plant and Equipment</t>
  </si>
  <si>
    <t>Goodwill on Consolidation</t>
  </si>
  <si>
    <t>CURRENT ASSETS</t>
  </si>
  <si>
    <t>Deposits with Licensed Banks</t>
  </si>
  <si>
    <t>Cash and Bank Balances</t>
  </si>
  <si>
    <t>CURRENT LIABILITIES</t>
  </si>
  <si>
    <t>Hire Purchase Creditors</t>
  </si>
  <si>
    <t>Short Term Borrowings</t>
  </si>
  <si>
    <t>NET CURRENT ASSETS / (LIABILITIES)</t>
  </si>
  <si>
    <t>CAPITAL AND RESERVES</t>
  </si>
  <si>
    <t>SHARE CAPITAL</t>
  </si>
  <si>
    <t>SHAREHOLDERS' EQUITY</t>
  </si>
  <si>
    <t>LONG TERM AND DEFERRED LIABILITIES</t>
  </si>
  <si>
    <t>ICULS</t>
  </si>
  <si>
    <t>Net Tangible Assets Per Share (sen)</t>
  </si>
  <si>
    <t>SHARE PREMIUM</t>
  </si>
  <si>
    <t>RETAINED EARNINGS</t>
  </si>
  <si>
    <t xml:space="preserve">CONDENSED CONSOLIDATED STATEMENT OF CHANGES IN EQUITY </t>
  </si>
  <si>
    <t>Share</t>
  </si>
  <si>
    <t>Capital</t>
  </si>
  <si>
    <t>Premium</t>
  </si>
  <si>
    <t>Retained</t>
  </si>
  <si>
    <t>Earnings</t>
  </si>
  <si>
    <t>Total</t>
  </si>
  <si>
    <t>Issue of New Shares</t>
  </si>
  <si>
    <t>Conversion of ICULS</t>
  </si>
  <si>
    <t>Corporate Expenses</t>
  </si>
  <si>
    <t xml:space="preserve">CONDENSED CONSOLIDATED CASH FLOW STATEMENT FOR </t>
  </si>
  <si>
    <t>OPERATING ACTIVITIES</t>
  </si>
  <si>
    <t>Receipts from Customers</t>
  </si>
  <si>
    <t>Interest Received</t>
  </si>
  <si>
    <t>Interest Paid</t>
  </si>
  <si>
    <t>Income Tax Paid</t>
  </si>
  <si>
    <t>Net Cash Flow From Operating Activities</t>
  </si>
  <si>
    <t>INVESTING ACTIVITIES</t>
  </si>
  <si>
    <t>Proceeds from Issuing of New Shares</t>
  </si>
  <si>
    <t>Acquisition of Subsidiaries, net of Cash acquired</t>
  </si>
  <si>
    <t>Purchase of Property, Plant and Equipment</t>
  </si>
  <si>
    <t>Payment For Corporate Exercise Expenses</t>
  </si>
  <si>
    <t>Net Cash Flow (Used In)/ From Investing Activities</t>
  </si>
  <si>
    <t>FINANCING ACTIVITIES</t>
  </si>
  <si>
    <t>Proceeds from Issuing of ICULS</t>
  </si>
  <si>
    <t>Repayment To Hire Purchase Creditors</t>
  </si>
  <si>
    <t>Net Cash Flow From Financing  Activities</t>
  </si>
  <si>
    <t>Net Increase / (Decrease) in Cash and Cash Equivalents During the Period</t>
  </si>
  <si>
    <t>Cash and Cash Equivalent at the Beginning of the Period</t>
  </si>
  <si>
    <t>Cash and Cash Equivalent at the End of the Period</t>
  </si>
  <si>
    <t>Distributable</t>
  </si>
  <si>
    <t>Share Premium</t>
  </si>
  <si>
    <t>Cash  and  cash  equivalents at the end of the period comprise as follows :</t>
  </si>
  <si>
    <t>Fixed Deposits with licensed banks</t>
  </si>
  <si>
    <t>Less  :  Bank Overdraft</t>
  </si>
  <si>
    <t xml:space="preserve">Cash and Cash Equivalent </t>
  </si>
  <si>
    <t>Loss On Disposal of Investment</t>
  </si>
  <si>
    <t>Bank Overdraft</t>
  </si>
  <si>
    <t>#</t>
  </si>
  <si>
    <t xml:space="preserve">Cash and  bank balances </t>
  </si>
  <si>
    <t>#  represents  RM2.00</t>
  </si>
  <si>
    <t>Proceeds from Disposal of Property, Plant &amp; Equipment</t>
  </si>
  <si>
    <t>Rental Received</t>
  </si>
  <si>
    <t>Less : Short Term Borrowings</t>
  </si>
  <si>
    <t>Fixed Deposits with licensed banks(Pledged as Security)</t>
  </si>
  <si>
    <t>Depreciation</t>
  </si>
  <si>
    <r>
      <t xml:space="preserve">LEBAR DAUN BERHAD </t>
    </r>
    <r>
      <rPr>
        <sz val="11"/>
        <rFont val="Arial"/>
        <family val="2"/>
      </rPr>
      <t>( 590945-H)</t>
    </r>
  </si>
  <si>
    <t>Provision For Taxation</t>
  </si>
  <si>
    <t>Operating Profit  Before Taxation</t>
  </si>
  <si>
    <t xml:space="preserve">Corresponding </t>
  </si>
  <si>
    <t xml:space="preserve">Current </t>
  </si>
  <si>
    <t>Year</t>
  </si>
  <si>
    <t>Period</t>
  </si>
  <si>
    <t>Payments to Contractors and  Suppliers</t>
  </si>
  <si>
    <t>Proceed From Hire Purchase Creditors</t>
  </si>
  <si>
    <t>Payments to employees and for administrative, others expenses &amp; Others receipts</t>
  </si>
  <si>
    <t>31.12.2004</t>
  </si>
  <si>
    <t>Deferred Liabilities</t>
  </si>
  <si>
    <t>The Condensed Unaudited Consolidated Income  Statements should be read in conjunction with the Annual Financial Report for the year ended 31 December 2004.</t>
  </si>
  <si>
    <t>The Condensed Unaudited Consolidated Balance Sheet should be read in conjunction with the Annual Financial Report for the year ended 31 December 2004</t>
  </si>
  <si>
    <t>NON-CURRENT ASSETS</t>
  </si>
  <si>
    <t>Trade  Receivables</t>
  </si>
  <si>
    <t>Other Receivables, Deposits and Prepayments</t>
  </si>
  <si>
    <t>Trade  Payables</t>
  </si>
  <si>
    <t>Amount due from  Customers for Contract Work</t>
  </si>
  <si>
    <t>Other Payables and Accruals</t>
  </si>
  <si>
    <t>Amount due to  Customers for Contract Work</t>
  </si>
  <si>
    <t>OTHER RESERVE</t>
  </si>
  <si>
    <t>&lt;----    Non - Distributable   -----&gt;</t>
  </si>
  <si>
    <t xml:space="preserve">Other </t>
  </si>
  <si>
    <t>Reserves</t>
  </si>
  <si>
    <t>At 1 January 2005</t>
  </si>
  <si>
    <t>At 1 January 2004</t>
  </si>
  <si>
    <t>The Condensed Unaudited Consolidated Statement Of Changes in Equity should be read in conjunction with the Annual Financial Statements for the year ended 31 December 2004</t>
  </si>
  <si>
    <t>CONDENSED CONSOLIDATED INCOME STATEMENTS</t>
  </si>
  <si>
    <t>Preceding Year Corresponding Period</t>
  </si>
  <si>
    <t>Net Profit</t>
  </si>
  <si>
    <t>Fully diluted</t>
  </si>
  <si>
    <t>Basic</t>
  </si>
  <si>
    <t>Provision For Doubtful Debts</t>
  </si>
  <si>
    <t>To-date</t>
  </si>
  <si>
    <t>Page 1 of 12</t>
  </si>
  <si>
    <t>Page 2 of 12</t>
  </si>
  <si>
    <t>Page 3 of 12</t>
  </si>
  <si>
    <t>Page 4 of 12</t>
  </si>
  <si>
    <t>Current Year To-date</t>
  </si>
  <si>
    <t>30.06.2005</t>
  </si>
  <si>
    <t>CONDENSED CONSOLIDATED BALANCE SHEET AS AT 30TH JUNE 2005</t>
  </si>
  <si>
    <t>30.06.2004</t>
  </si>
  <si>
    <t>6 months ended 30 June 2004</t>
  </si>
  <si>
    <t>6 months ended 30 June 2005</t>
  </si>
  <si>
    <t>At 30 June 2005</t>
  </si>
  <si>
    <t>At 30 June 2004</t>
  </si>
  <si>
    <t>FOR THE PERIOD ENDED 30TH JUNE 2005</t>
  </si>
  <si>
    <t>Dividend</t>
  </si>
  <si>
    <t xml:space="preserve">   First Interim</t>
  </si>
  <si>
    <t>(Based on 136,459,175 ordinary shares) (2004 : 118,483,675 ordinary shares)</t>
  </si>
  <si>
    <t>Payment for Dividend</t>
  </si>
  <si>
    <t>FOR THE SECOND QUARTER ENDED 30TH JUNE 2005</t>
  </si>
  <si>
    <t>THE PERIOD ENDED 30TH JUNE 2005</t>
  </si>
  <si>
    <t>The Condensed Unaudited Consolidated Cash Flow Statement should be read in conjunction with the Annual Financial Report for the year ended 31 December 2004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</si>
</sst>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%"/>
    <numFmt numFmtId="169" formatCode="0.000%"/>
    <numFmt numFmtId="170" formatCode="_(* #,##0.00000_);_(* \(#,##0.00000\);_(* &quot;-&quot;??_);_(@_)"/>
    <numFmt numFmtId="171" formatCode="_(* #,##0.0_);_(* \(#,##0.0\);_(* &quot;-&quot;?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5" fontId="3" fillId="0" borderId="0" xfId="15" applyNumberFormat="1" applyFont="1" applyAlignment="1">
      <alignment/>
    </xf>
    <xf numFmtId="165" fontId="3" fillId="0" borderId="1" xfId="15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/>
    </xf>
    <xf numFmtId="165" fontId="3" fillId="0" borderId="2" xfId="15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3" fillId="0" borderId="0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9" fontId="3" fillId="0" borderId="0" xfId="21" applyFont="1" applyAlignment="1">
      <alignment/>
    </xf>
    <xf numFmtId="165" fontId="3" fillId="0" borderId="3" xfId="15" applyNumberFormat="1" applyFont="1" applyBorder="1" applyAlignment="1">
      <alignment/>
    </xf>
    <xf numFmtId="43" fontId="3" fillId="0" borderId="4" xfId="15" applyNumberFormat="1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65" fontId="4" fillId="0" borderId="0" xfId="15" applyNumberFormat="1" applyFont="1" applyBorder="1" applyAlignment="1">
      <alignment/>
    </xf>
    <xf numFmtId="165" fontId="4" fillId="0" borderId="0" xfId="15" applyNumberFormat="1" applyFont="1" applyAlignment="1">
      <alignment/>
    </xf>
    <xf numFmtId="165" fontId="3" fillId="0" borderId="5" xfId="15" applyNumberFormat="1" applyFont="1" applyBorder="1" applyAlignment="1">
      <alignment/>
    </xf>
    <xf numFmtId="165" fontId="4" fillId="0" borderId="5" xfId="15" applyNumberFormat="1" applyFont="1" applyBorder="1" applyAlignment="1">
      <alignment/>
    </xf>
    <xf numFmtId="165" fontId="3" fillId="0" borderId="6" xfId="15" applyNumberFormat="1" applyFont="1" applyBorder="1" applyAlignment="1">
      <alignment/>
    </xf>
    <xf numFmtId="165" fontId="4" fillId="0" borderId="6" xfId="15" applyNumberFormat="1" applyFont="1" applyBorder="1" applyAlignment="1">
      <alignment/>
    </xf>
    <xf numFmtId="165" fontId="3" fillId="0" borderId="7" xfId="15" applyNumberFormat="1" applyFont="1" applyBorder="1" applyAlignment="1">
      <alignment/>
    </xf>
    <xf numFmtId="165" fontId="8" fillId="0" borderId="7" xfId="15" applyNumberFormat="1" applyFont="1" applyBorder="1" applyAlignment="1">
      <alignment horizontal="center"/>
    </xf>
    <xf numFmtId="165" fontId="4" fillId="0" borderId="7" xfId="15" applyNumberFormat="1" applyFont="1" applyBorder="1" applyAlignment="1">
      <alignment/>
    </xf>
    <xf numFmtId="165" fontId="3" fillId="0" borderId="8" xfId="15" applyNumberFormat="1" applyFont="1" applyBorder="1" applyAlignment="1">
      <alignment/>
    </xf>
    <xf numFmtId="165" fontId="4" fillId="0" borderId="8" xfId="15" applyNumberFormat="1" applyFont="1" applyBorder="1" applyAlignment="1">
      <alignment/>
    </xf>
    <xf numFmtId="165" fontId="8" fillId="0" borderId="5" xfId="15" applyNumberFormat="1" applyFont="1" applyBorder="1" applyAlignment="1">
      <alignment horizontal="center" vertical="center"/>
    </xf>
    <xf numFmtId="166" fontId="4" fillId="0" borderId="0" xfId="15" applyNumberFormat="1" applyFont="1" applyAlignment="1">
      <alignment/>
    </xf>
    <xf numFmtId="43" fontId="3" fillId="0" borderId="3" xfId="15" applyNumberFormat="1" applyFont="1" applyBorder="1" applyAlignment="1">
      <alignment/>
    </xf>
    <xf numFmtId="43" fontId="3" fillId="0" borderId="0" xfId="15" applyFont="1" applyAlignment="1">
      <alignment/>
    </xf>
    <xf numFmtId="43" fontId="3" fillId="0" borderId="0" xfId="0" applyNumberFormat="1" applyFont="1" applyAlignment="1">
      <alignment/>
    </xf>
    <xf numFmtId="43" fontId="4" fillId="0" borderId="0" xfId="15" applyFont="1" applyAlignment="1">
      <alignment/>
    </xf>
    <xf numFmtId="165" fontId="4" fillId="0" borderId="0" xfId="15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165" fontId="4" fillId="0" borderId="2" xfId="15" applyNumberFormat="1" applyFont="1" applyBorder="1" applyAlignment="1">
      <alignment/>
    </xf>
    <xf numFmtId="165" fontId="4" fillId="0" borderId="1" xfId="15" applyNumberFormat="1" applyFont="1" applyBorder="1" applyAlignment="1">
      <alignment/>
    </xf>
    <xf numFmtId="165" fontId="4" fillId="0" borderId="9" xfId="0" applyNumberFormat="1" applyFont="1" applyBorder="1" applyAlignment="1">
      <alignment/>
    </xf>
    <xf numFmtId="165" fontId="4" fillId="0" borderId="9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9" fontId="4" fillId="0" borderId="0" xfId="21" applyFont="1" applyAlignment="1">
      <alignment/>
    </xf>
    <xf numFmtId="167" fontId="4" fillId="0" borderId="0" xfId="15" applyNumberFormat="1" applyFont="1" applyAlignment="1">
      <alignment/>
    </xf>
    <xf numFmtId="167" fontId="4" fillId="0" borderId="0" xfId="0" applyNumberFormat="1" applyFont="1" applyAlignment="1">
      <alignment/>
    </xf>
    <xf numFmtId="169" fontId="3" fillId="0" borderId="0" xfId="21" applyNumberFormat="1" applyFont="1" applyAlignment="1">
      <alignment/>
    </xf>
    <xf numFmtId="165" fontId="4" fillId="0" borderId="3" xfId="15" applyNumberFormat="1" applyFont="1" applyBorder="1" applyAlignment="1">
      <alignment/>
    </xf>
    <xf numFmtId="43" fontId="4" fillId="0" borderId="4" xfId="15" applyNumberFormat="1" applyFont="1" applyBorder="1" applyAlignment="1">
      <alignment/>
    </xf>
    <xf numFmtId="43" fontId="4" fillId="0" borderId="10" xfId="15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165" fontId="4" fillId="0" borderId="2" xfId="15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3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</xdr:rowOff>
    </xdr:from>
    <xdr:to>
      <xdr:col>2</xdr:col>
      <xdr:colOff>571500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00025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190500</xdr:rowOff>
    </xdr:from>
    <xdr:to>
      <xdr:col>2</xdr:col>
      <xdr:colOff>523875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0</xdr:rowOff>
    </xdr:from>
    <xdr:to>
      <xdr:col>3</xdr:col>
      <xdr:colOff>219075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90500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190500</xdr:rowOff>
    </xdr:from>
    <xdr:to>
      <xdr:col>2</xdr:col>
      <xdr:colOff>647700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90500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1"/>
  <sheetViews>
    <sheetView tabSelected="1" view="pageBreakPreview" zoomScale="60" zoomScaleNormal="75" workbookViewId="0" topLeftCell="A25">
      <selection activeCell="D5" sqref="D5"/>
    </sheetView>
  </sheetViews>
  <sheetFormatPr defaultColWidth="9.140625" defaultRowHeight="12.75"/>
  <cols>
    <col min="1" max="1" width="3.28125" style="6" customWidth="1"/>
    <col min="2" max="2" width="4.00390625" style="6" customWidth="1"/>
    <col min="3" max="3" width="10.7109375" style="6" customWidth="1"/>
    <col min="4" max="4" width="9.140625" style="6" customWidth="1"/>
    <col min="5" max="5" width="5.00390625" style="6" customWidth="1"/>
    <col min="6" max="6" width="9.421875" style="6" bestFit="1" customWidth="1"/>
    <col min="7" max="7" width="3.421875" style="6" customWidth="1"/>
    <col min="8" max="8" width="16.8515625" style="1" customWidth="1"/>
    <col min="9" max="9" width="2.7109375" style="6" customWidth="1"/>
    <col min="10" max="10" width="15.8515625" style="6" customWidth="1"/>
    <col min="11" max="11" width="9.140625" style="6" customWidth="1"/>
    <col min="12" max="12" width="17.28125" style="1" customWidth="1"/>
    <col min="13" max="13" width="2.7109375" style="6" customWidth="1"/>
    <col min="14" max="14" width="16.00390625" style="6" customWidth="1"/>
    <col min="15" max="15" width="9.140625" style="6" customWidth="1"/>
    <col min="16" max="16" width="14.421875" style="6" customWidth="1"/>
    <col min="17" max="16384" width="9.140625" style="6" customWidth="1"/>
  </cols>
  <sheetData>
    <row r="1" ht="15">
      <c r="B1" s="1"/>
    </row>
    <row r="2" spans="2:14" ht="15">
      <c r="B2" s="1"/>
      <c r="D2" s="1" t="s">
        <v>83</v>
      </c>
      <c r="E2" s="7"/>
      <c r="F2" s="7"/>
      <c r="G2" s="7"/>
      <c r="H2" s="8"/>
      <c r="I2" s="7"/>
      <c r="J2" s="7"/>
      <c r="K2" s="7"/>
      <c r="L2" s="8"/>
      <c r="M2" s="7"/>
      <c r="N2" s="7"/>
    </row>
    <row r="3" spans="2:14" ht="15">
      <c r="B3" s="1"/>
      <c r="D3" s="7"/>
      <c r="E3" s="7"/>
      <c r="F3" s="7"/>
      <c r="G3" s="7"/>
      <c r="H3" s="8"/>
      <c r="I3" s="7"/>
      <c r="J3" s="7"/>
      <c r="K3" s="7"/>
      <c r="L3" s="8"/>
      <c r="M3" s="7"/>
      <c r="N3" s="7"/>
    </row>
    <row r="4" spans="4:14" ht="15">
      <c r="D4" s="9" t="s">
        <v>111</v>
      </c>
      <c r="E4" s="10"/>
      <c r="F4" s="10"/>
      <c r="G4" s="10"/>
      <c r="H4" s="9"/>
      <c r="I4" s="7"/>
      <c r="J4" s="7"/>
      <c r="K4" s="7"/>
      <c r="L4" s="8"/>
      <c r="M4" s="7"/>
      <c r="N4" s="7"/>
    </row>
    <row r="5" spans="4:14" ht="15">
      <c r="D5" s="9" t="s">
        <v>135</v>
      </c>
      <c r="E5" s="10"/>
      <c r="F5" s="10"/>
      <c r="G5" s="10"/>
      <c r="H5" s="9"/>
      <c r="I5" s="7"/>
      <c r="J5" s="7"/>
      <c r="K5" s="7"/>
      <c r="L5" s="8"/>
      <c r="M5" s="7"/>
      <c r="N5" s="7"/>
    </row>
    <row r="6" spans="4:14" ht="15">
      <c r="D6" s="11" t="s">
        <v>0</v>
      </c>
      <c r="E6" s="7"/>
      <c r="F6" s="7"/>
      <c r="G6" s="7"/>
      <c r="H6" s="8"/>
      <c r="I6" s="7"/>
      <c r="J6" s="7"/>
      <c r="K6" s="7"/>
      <c r="L6" s="8"/>
      <c r="M6" s="7"/>
      <c r="N6" s="7"/>
    </row>
    <row r="7" spans="4:14" ht="15">
      <c r="D7" s="11"/>
      <c r="E7" s="7"/>
      <c r="F7" s="7"/>
      <c r="G7" s="7"/>
      <c r="H7" s="8"/>
      <c r="I7" s="7"/>
      <c r="J7" s="7"/>
      <c r="K7" s="7"/>
      <c r="L7" s="8"/>
      <c r="M7" s="7"/>
      <c r="N7" s="7"/>
    </row>
    <row r="8" spans="4:14" ht="14.25">
      <c r="D8" s="7"/>
      <c r="E8" s="7"/>
      <c r="F8" s="7"/>
      <c r="G8" s="7"/>
      <c r="H8" s="66" t="s">
        <v>1</v>
      </c>
      <c r="I8" s="67"/>
      <c r="J8" s="68"/>
      <c r="K8" s="7"/>
      <c r="L8" s="66" t="s">
        <v>2</v>
      </c>
      <c r="M8" s="67"/>
      <c r="N8" s="68"/>
    </row>
    <row r="9" spans="8:14" ht="15">
      <c r="H9" s="2" t="s">
        <v>87</v>
      </c>
      <c r="I9" s="12"/>
      <c r="J9" s="12" t="s">
        <v>4</v>
      </c>
      <c r="L9" s="2" t="s">
        <v>87</v>
      </c>
      <c r="M9" s="12"/>
      <c r="N9" s="12" t="s">
        <v>4</v>
      </c>
    </row>
    <row r="10" spans="8:14" ht="15">
      <c r="H10" s="2" t="s">
        <v>88</v>
      </c>
      <c r="I10" s="12"/>
      <c r="J10" s="12" t="s">
        <v>86</v>
      </c>
      <c r="L10" s="2" t="s">
        <v>88</v>
      </c>
      <c r="M10" s="12"/>
      <c r="N10" s="12" t="s">
        <v>86</v>
      </c>
    </row>
    <row r="11" spans="8:14" ht="15">
      <c r="H11" s="2" t="s">
        <v>3</v>
      </c>
      <c r="I11" s="12"/>
      <c r="J11" s="12" t="s">
        <v>3</v>
      </c>
      <c r="L11" s="2" t="s">
        <v>117</v>
      </c>
      <c r="M11" s="12"/>
      <c r="N11" s="12" t="s">
        <v>89</v>
      </c>
    </row>
    <row r="12" spans="8:14" ht="15">
      <c r="H12" s="2" t="s">
        <v>123</v>
      </c>
      <c r="I12" s="12"/>
      <c r="J12" s="12" t="s">
        <v>125</v>
      </c>
      <c r="L12" s="2" t="s">
        <v>123</v>
      </c>
      <c r="M12" s="12"/>
      <c r="N12" s="12" t="s">
        <v>125</v>
      </c>
    </row>
    <row r="13" spans="8:14" ht="15">
      <c r="H13" s="2" t="s">
        <v>17</v>
      </c>
      <c r="I13" s="12"/>
      <c r="J13" s="12" t="s">
        <v>17</v>
      </c>
      <c r="L13" s="2" t="s">
        <v>17</v>
      </c>
      <c r="M13" s="12"/>
      <c r="N13" s="12" t="s">
        <v>17</v>
      </c>
    </row>
    <row r="14" spans="2:14" ht="15">
      <c r="B14" s="6" t="s">
        <v>5</v>
      </c>
      <c r="H14" s="3">
        <v>33099</v>
      </c>
      <c r="J14" s="24">
        <v>77565</v>
      </c>
      <c r="L14" s="3">
        <f>46786+H14</f>
        <v>79885</v>
      </c>
      <c r="N14" s="24">
        <f>64579+77565</f>
        <v>142144</v>
      </c>
    </row>
    <row r="15" spans="6:14" ht="15">
      <c r="F15" s="13"/>
      <c r="H15" s="3"/>
      <c r="J15" s="24"/>
      <c r="L15" s="3"/>
      <c r="N15" s="24"/>
    </row>
    <row r="16" spans="2:14" ht="15">
      <c r="B16" s="6" t="s">
        <v>6</v>
      </c>
      <c r="H16" s="14">
        <v>-27395</v>
      </c>
      <c r="J16" s="42">
        <v>-61471</v>
      </c>
      <c r="L16" s="14">
        <f>-39651+H16</f>
        <v>-67046</v>
      </c>
      <c r="N16" s="42">
        <f>-54828-61471</f>
        <v>-116299</v>
      </c>
    </row>
    <row r="17" spans="7:14" ht="15">
      <c r="G17" s="57"/>
      <c r="H17" s="18"/>
      <c r="J17" s="24"/>
      <c r="L17" s="18"/>
      <c r="N17" s="24"/>
    </row>
    <row r="18" spans="2:14" ht="15">
      <c r="B18" s="6" t="s">
        <v>7</v>
      </c>
      <c r="F18" s="57"/>
      <c r="G18" s="55"/>
      <c r="H18" s="3">
        <f>+H14+H16</f>
        <v>5704</v>
      </c>
      <c r="J18" s="24">
        <f>+J14+J16</f>
        <v>16094</v>
      </c>
      <c r="L18" s="3">
        <f>+L14+L16</f>
        <v>12839</v>
      </c>
      <c r="N18" s="24">
        <f>+N14+N16</f>
        <v>25845</v>
      </c>
    </row>
    <row r="19" spans="8:14" ht="15">
      <c r="H19" s="58"/>
      <c r="J19" s="24"/>
      <c r="L19" s="58"/>
      <c r="N19" s="24"/>
    </row>
    <row r="20" spans="2:14" ht="15">
      <c r="B20" s="6" t="s">
        <v>8</v>
      </c>
      <c r="H20" s="14">
        <f>45+70+14</f>
        <v>129</v>
      </c>
      <c r="J20" s="42">
        <v>227</v>
      </c>
      <c r="L20" s="14">
        <f>45+163+H20</f>
        <v>337</v>
      </c>
      <c r="N20" s="42">
        <f>235+45+227</f>
        <v>507</v>
      </c>
    </row>
    <row r="21" spans="8:14" ht="15">
      <c r="H21" s="15">
        <f>SUM(H17:H20)</f>
        <v>5833</v>
      </c>
      <c r="J21" s="13">
        <f>SUM(J17:J20)</f>
        <v>16321</v>
      </c>
      <c r="L21" s="15">
        <f>SUM(L17:L20)</f>
        <v>13176</v>
      </c>
      <c r="N21" s="13">
        <f>SUM(N17:N20)</f>
        <v>26352</v>
      </c>
    </row>
    <row r="22" spans="8:14" ht="15">
      <c r="H22" s="3"/>
      <c r="J22" s="24"/>
      <c r="L22" s="3"/>
      <c r="N22" s="24"/>
    </row>
    <row r="23" spans="2:14" ht="15">
      <c r="B23" s="6" t="s">
        <v>9</v>
      </c>
      <c r="G23" s="13"/>
      <c r="H23" s="3">
        <f>(-691-108+89)</f>
        <v>-710</v>
      </c>
      <c r="J23" s="24">
        <v>-1375</v>
      </c>
      <c r="L23" s="3">
        <f>(-1008+89+150)+(-59+6)+H23</f>
        <v>-1532</v>
      </c>
      <c r="N23" s="24">
        <f>-823-4+154-1375</f>
        <v>-2048</v>
      </c>
    </row>
    <row r="24" spans="2:14" ht="15">
      <c r="B24" s="6" t="s">
        <v>116</v>
      </c>
      <c r="G24" s="13"/>
      <c r="H24" s="3">
        <v>0</v>
      </c>
      <c r="J24" s="24">
        <v>0</v>
      </c>
      <c r="L24" s="3">
        <f>-150+H24</f>
        <v>-150</v>
      </c>
      <c r="N24" s="24">
        <v>0</v>
      </c>
    </row>
    <row r="25" spans="2:14" ht="15">
      <c r="B25" s="6" t="s">
        <v>82</v>
      </c>
      <c r="H25" s="3">
        <v>-89</v>
      </c>
      <c r="J25" s="24">
        <v>-117</v>
      </c>
      <c r="L25" s="3">
        <f>-89+H25</f>
        <v>-178</v>
      </c>
      <c r="N25" s="24">
        <f>-154-117</f>
        <v>-271</v>
      </c>
    </row>
    <row r="26" spans="2:14" ht="15">
      <c r="B26" s="6" t="s">
        <v>11</v>
      </c>
      <c r="H26" s="3">
        <f>-100</f>
        <v>-100</v>
      </c>
      <c r="J26" s="24">
        <v>-215</v>
      </c>
      <c r="L26" s="3">
        <f>-137-6+H26</f>
        <v>-243</v>
      </c>
      <c r="N26" s="24">
        <f>-90-124-215</f>
        <v>-429</v>
      </c>
    </row>
    <row r="27" spans="2:14" ht="15">
      <c r="B27" s="6" t="s">
        <v>10</v>
      </c>
      <c r="H27" s="16">
        <v>-231</v>
      </c>
      <c r="J27" s="23">
        <v>-170</v>
      </c>
      <c r="L27" s="16">
        <f>-231+H27</f>
        <v>-462</v>
      </c>
      <c r="N27" s="23">
        <f>-170-170</f>
        <v>-340</v>
      </c>
    </row>
    <row r="28" spans="2:14" ht="15">
      <c r="B28" s="6" t="s">
        <v>73</v>
      </c>
      <c r="H28" s="14">
        <v>0</v>
      </c>
      <c r="J28" s="42">
        <v>0</v>
      </c>
      <c r="L28" s="14">
        <v>0</v>
      </c>
      <c r="N28" s="42">
        <v>-242</v>
      </c>
    </row>
    <row r="29" spans="8:14" ht="15">
      <c r="H29" s="3"/>
      <c r="J29" s="24"/>
      <c r="L29" s="3"/>
      <c r="N29" s="24"/>
    </row>
    <row r="30" spans="2:14" ht="15">
      <c r="B30" s="6" t="s">
        <v>85</v>
      </c>
      <c r="H30" s="3">
        <f>SUM(H21:H28)</f>
        <v>4703</v>
      </c>
      <c r="J30" s="24">
        <f>SUM(J21:J28)</f>
        <v>14444</v>
      </c>
      <c r="L30" s="3">
        <f>SUM(L21:L28)</f>
        <v>10611</v>
      </c>
      <c r="N30" s="24">
        <f>SUM(N21:N28)</f>
        <v>23022</v>
      </c>
    </row>
    <row r="31" spans="8:14" ht="15">
      <c r="H31" s="3"/>
      <c r="J31" s="24"/>
      <c r="L31" s="3"/>
      <c r="N31" s="24"/>
    </row>
    <row r="32" spans="2:14" ht="15">
      <c r="B32" s="6" t="s">
        <v>12</v>
      </c>
      <c r="G32" s="56"/>
      <c r="H32" s="14">
        <v>-1370</v>
      </c>
      <c r="J32" s="42">
        <v>-4370</v>
      </c>
      <c r="L32" s="14">
        <f>-1998+H32</f>
        <v>-3368</v>
      </c>
      <c r="N32" s="42">
        <f>-2495-60-4370</f>
        <v>-6925</v>
      </c>
    </row>
    <row r="33" spans="8:14" ht="15">
      <c r="H33" s="18"/>
      <c r="J33" s="55"/>
      <c r="L33" s="18"/>
      <c r="N33" s="55"/>
    </row>
    <row r="34" spans="2:14" ht="15">
      <c r="B34" s="6" t="s">
        <v>13</v>
      </c>
      <c r="H34" s="3">
        <f>+H30+H32</f>
        <v>3333</v>
      </c>
      <c r="J34" s="24">
        <f>+J30+J32</f>
        <v>10074</v>
      </c>
      <c r="L34" s="3">
        <f>+L30+L32</f>
        <v>7243</v>
      </c>
      <c r="N34" s="24">
        <f>+N30+N32</f>
        <v>16097</v>
      </c>
    </row>
    <row r="35" spans="8:14" ht="15">
      <c r="H35" s="3"/>
      <c r="J35" s="24"/>
      <c r="L35" s="3"/>
      <c r="N35" s="24"/>
    </row>
    <row r="36" spans="2:14" ht="15">
      <c r="B36" s="6" t="s">
        <v>14</v>
      </c>
      <c r="H36" s="14">
        <v>0</v>
      </c>
      <c r="J36" s="42">
        <v>0</v>
      </c>
      <c r="L36" s="14">
        <v>0</v>
      </c>
      <c r="N36" s="42">
        <v>-500</v>
      </c>
    </row>
    <row r="37" spans="8:14" ht="15">
      <c r="H37" s="3"/>
      <c r="J37" s="24"/>
      <c r="L37" s="3"/>
      <c r="N37" s="24"/>
    </row>
    <row r="38" spans="2:14" ht="15.75" thickBot="1">
      <c r="B38" s="6" t="s">
        <v>15</v>
      </c>
      <c r="H38" s="19">
        <f>SUM(H34:H36)</f>
        <v>3333</v>
      </c>
      <c r="J38" s="59">
        <f>SUM(J34:J36)</f>
        <v>10074</v>
      </c>
      <c r="L38" s="19">
        <f>SUM(L34:L36)</f>
        <v>7243</v>
      </c>
      <c r="N38" s="59">
        <f>SUM(N34:N36)</f>
        <v>15597</v>
      </c>
    </row>
    <row r="39" spans="8:14" ht="15.75" thickTop="1">
      <c r="H39" s="3"/>
      <c r="J39" s="24"/>
      <c r="L39" s="3"/>
      <c r="N39" s="24"/>
    </row>
    <row r="40" spans="8:14" ht="15">
      <c r="H40" s="3"/>
      <c r="J40" s="24"/>
      <c r="L40" s="3"/>
      <c r="N40" s="24"/>
    </row>
    <row r="41" ht="15">
      <c r="B41" s="6" t="s">
        <v>16</v>
      </c>
    </row>
    <row r="42" spans="3:14" ht="23.25" customHeight="1" thickBot="1">
      <c r="C42" s="71" t="s">
        <v>115</v>
      </c>
      <c r="D42" s="71"/>
      <c r="E42" s="71"/>
      <c r="F42" s="71"/>
      <c r="H42" s="20">
        <f>+(H38*1000)/(59241837.5*2+17947700+(1000*91/91+4500*91/91+21300*91/91+1000*91/91))*100</f>
        <v>2.4424887516724327</v>
      </c>
      <c r="J42" s="60">
        <f>+J38/(59241.8375*2)*100</f>
        <v>8.502437150096839</v>
      </c>
      <c r="L42" s="20">
        <f>+(L38*1000)/(59241837.5*2+(25100*175/181+1000*175/181+2600*175/181+17900000*175/181+14000*175/181+3100*175/181+1900*175/181+1000*175/181+4500*175/181+21300*175/181+1000*175/181))*100</f>
        <v>5.3310937461030035</v>
      </c>
      <c r="N42" s="60">
        <f>+N38/(59241.8375*2)*100</f>
        <v>13.163838815769346</v>
      </c>
    </row>
    <row r="43" spans="3:14" ht="23.25" customHeight="1" thickBot="1">
      <c r="C43" s="71" t="s">
        <v>114</v>
      </c>
      <c r="D43" s="71"/>
      <c r="E43" s="71"/>
      <c r="F43" s="71"/>
      <c r="H43" s="20">
        <f>+(H38*1000)/(59241837.5*2+17947700+(1000*91/91+4500*91/91+21300*91/91+1000*91/91)+24500)*100</f>
        <v>2.4420503038183874</v>
      </c>
      <c r="J43" s="61">
        <f>+(J38+90)/(59241.8375*2+18000)*100</f>
        <v>7.447044490852112</v>
      </c>
      <c r="L43" s="20">
        <f>+(L38*1000)/(59241837.5*2+(25100*175/181+1000*175/181+2600*175/181+17900000*175/181+14000*175/181+3100*175/181+1900*175/181+1000*175/181+4500*175/181+21300*175/181+1000*175/181)+24500)*100</f>
        <v>5.330132572290578</v>
      </c>
      <c r="N43" s="61">
        <f>+(N38+180)/(59241.8375*2+18000)*100</f>
        <v>11.559624255428352</v>
      </c>
    </row>
    <row r="44" spans="8:14" ht="15">
      <c r="H44" s="3"/>
      <c r="J44" s="24"/>
      <c r="L44" s="3"/>
      <c r="N44" s="24"/>
    </row>
    <row r="45" spans="8:16" ht="15">
      <c r="H45" s="6"/>
      <c r="L45" s="6"/>
      <c r="P45" s="1"/>
    </row>
    <row r="46" spans="2:14" ht="14.2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2:14" ht="36.75" customHeight="1">
      <c r="B47" s="69" t="s">
        <v>95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</row>
    <row r="51" spans="2:14" ht="14.25">
      <c r="B51" s="70" t="s">
        <v>118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</sheetData>
  <mergeCells count="6">
    <mergeCell ref="H8:J8"/>
    <mergeCell ref="L8:N8"/>
    <mergeCell ref="B47:N47"/>
    <mergeCell ref="B51:N51"/>
    <mergeCell ref="C42:F42"/>
    <mergeCell ref="C43:F43"/>
  </mergeCells>
  <printOptions horizontalCentered="1" verticalCentered="1"/>
  <pageMargins left="0.5" right="0.5" top="1" bottom="1" header="0.5" footer="0.5"/>
  <pageSetup fitToHeight="1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view="pageBreakPreview" zoomScale="60" zoomScaleNormal="75" workbookViewId="0" topLeftCell="A36">
      <selection activeCell="B56" sqref="B56:K56"/>
    </sheetView>
  </sheetViews>
  <sheetFormatPr defaultColWidth="9.140625" defaultRowHeight="12.75"/>
  <cols>
    <col min="1" max="1" width="3.28125" style="6" customWidth="1"/>
    <col min="2" max="2" width="4.28125" style="6" customWidth="1"/>
    <col min="3" max="3" width="10.7109375" style="6" customWidth="1"/>
    <col min="4" max="4" width="11.57421875" style="6" customWidth="1"/>
    <col min="5" max="5" width="14.140625" style="6" customWidth="1"/>
    <col min="6" max="6" width="13.140625" style="6" customWidth="1"/>
    <col min="7" max="7" width="9.140625" style="6" customWidth="1"/>
    <col min="8" max="8" width="17.57421875" style="1" customWidth="1"/>
    <col min="9" max="9" width="10.28125" style="6" customWidth="1"/>
    <col min="10" max="10" width="18.28125" style="6" customWidth="1"/>
    <col min="11" max="11" width="9.140625" style="6" customWidth="1"/>
    <col min="12" max="12" width="14.140625" style="6" customWidth="1"/>
    <col min="13" max="13" width="2.7109375" style="6" customWidth="1"/>
    <col min="14" max="14" width="12.7109375" style="6" customWidth="1"/>
    <col min="15" max="16384" width="9.140625" style="6" customWidth="1"/>
  </cols>
  <sheetData>
    <row r="1" ht="15">
      <c r="B1" s="1"/>
    </row>
    <row r="2" spans="2:14" ht="15">
      <c r="B2" s="1"/>
      <c r="D2" s="1" t="s">
        <v>83</v>
      </c>
      <c r="E2" s="7"/>
      <c r="F2" s="7"/>
      <c r="G2" s="7"/>
      <c r="H2" s="8"/>
      <c r="I2" s="7"/>
      <c r="J2" s="7"/>
      <c r="K2" s="7"/>
      <c r="L2" s="7"/>
      <c r="M2" s="7"/>
      <c r="N2" s="7"/>
    </row>
    <row r="3" spans="2:14" ht="15">
      <c r="B3" s="1"/>
      <c r="D3" s="7"/>
      <c r="E3" s="7"/>
      <c r="F3" s="7"/>
      <c r="G3" s="7"/>
      <c r="H3" s="8"/>
      <c r="I3" s="7"/>
      <c r="J3" s="7"/>
      <c r="K3" s="7"/>
      <c r="L3" s="7"/>
      <c r="M3" s="7"/>
      <c r="N3" s="7"/>
    </row>
    <row r="4" spans="4:14" ht="15">
      <c r="D4" s="9" t="s">
        <v>124</v>
      </c>
      <c r="E4" s="10"/>
      <c r="F4" s="10"/>
      <c r="G4" s="10"/>
      <c r="H4" s="9"/>
      <c r="I4" s="7"/>
      <c r="J4" s="7"/>
      <c r="K4" s="7"/>
      <c r="L4" s="7"/>
      <c r="M4" s="7"/>
      <c r="N4" s="7"/>
    </row>
    <row r="5" spans="4:14" ht="15">
      <c r="D5" s="11" t="s">
        <v>0</v>
      </c>
      <c r="E5" s="7"/>
      <c r="F5" s="7"/>
      <c r="G5" s="7"/>
      <c r="H5" s="8"/>
      <c r="I5" s="7"/>
      <c r="J5" s="7"/>
      <c r="K5" s="7"/>
      <c r="L5" s="7"/>
      <c r="M5" s="7"/>
      <c r="N5" s="7"/>
    </row>
    <row r="6" spans="4:14" ht="15">
      <c r="D6" s="11"/>
      <c r="E6" s="7"/>
      <c r="F6" s="7"/>
      <c r="G6" s="7"/>
      <c r="H6" s="22" t="s">
        <v>18</v>
      </c>
      <c r="I6" s="17"/>
      <c r="J6" s="17" t="s">
        <v>19</v>
      </c>
      <c r="K6" s="7"/>
      <c r="L6" s="7"/>
      <c r="M6" s="7"/>
      <c r="N6" s="7"/>
    </row>
    <row r="7" spans="4:14" ht="16.5" customHeight="1">
      <c r="D7" s="7"/>
      <c r="E7" s="7"/>
      <c r="F7" s="7"/>
      <c r="G7" s="7"/>
      <c r="H7" s="22" t="s">
        <v>123</v>
      </c>
      <c r="I7" s="17"/>
      <c r="J7" s="17" t="s">
        <v>93</v>
      </c>
      <c r="K7" s="7"/>
      <c r="L7" s="7"/>
      <c r="M7" s="7"/>
      <c r="N7" s="7"/>
    </row>
    <row r="8" spans="8:14" ht="15">
      <c r="H8" s="22" t="s">
        <v>17</v>
      </c>
      <c r="I8" s="17"/>
      <c r="J8" s="17" t="s">
        <v>17</v>
      </c>
      <c r="K8" s="7"/>
      <c r="L8" s="7"/>
      <c r="M8" s="7"/>
      <c r="N8" s="7"/>
    </row>
    <row r="9" spans="2:14" ht="15">
      <c r="B9" s="62" t="s">
        <v>97</v>
      </c>
      <c r="H9" s="16"/>
      <c r="I9" s="23"/>
      <c r="J9" s="23"/>
      <c r="K9" s="7"/>
      <c r="L9" s="7"/>
      <c r="M9" s="7"/>
      <c r="N9" s="7"/>
    </row>
    <row r="10" spans="2:10" ht="15">
      <c r="B10" s="1" t="s">
        <v>20</v>
      </c>
      <c r="H10" s="3">
        <v>5286</v>
      </c>
      <c r="I10" s="24"/>
      <c r="J10" s="24">
        <v>5536</v>
      </c>
    </row>
    <row r="11" spans="2:10" ht="15">
      <c r="B11" s="1" t="s">
        <v>21</v>
      </c>
      <c r="H11" s="3">
        <v>12476</v>
      </c>
      <c r="I11" s="24"/>
      <c r="J11" s="24">
        <v>12938</v>
      </c>
    </row>
    <row r="12" spans="8:10" ht="15">
      <c r="H12" s="3"/>
      <c r="I12" s="24"/>
      <c r="J12" s="24"/>
    </row>
    <row r="13" spans="8:10" ht="15">
      <c r="H13" s="3"/>
      <c r="I13" s="24"/>
      <c r="J13" s="24"/>
    </row>
    <row r="14" spans="2:10" ht="15">
      <c r="B14" s="1" t="s">
        <v>22</v>
      </c>
      <c r="H14" s="25"/>
      <c r="I14" s="24"/>
      <c r="J14" s="26"/>
    </row>
    <row r="15" spans="3:10" ht="15">
      <c r="C15" s="6" t="s">
        <v>98</v>
      </c>
      <c r="H15" s="27">
        <v>151264</v>
      </c>
      <c r="I15" s="24"/>
      <c r="J15" s="28">
        <v>181121</v>
      </c>
    </row>
    <row r="16" spans="3:10" ht="15">
      <c r="C16" s="6" t="s">
        <v>99</v>
      </c>
      <c r="H16" s="27">
        <v>336</v>
      </c>
      <c r="I16" s="24"/>
      <c r="J16" s="28">
        <v>433</v>
      </c>
    </row>
    <row r="17" spans="3:10" ht="15">
      <c r="C17" s="6" t="s">
        <v>101</v>
      </c>
      <c r="H17" s="27">
        <v>28555</v>
      </c>
      <c r="I17" s="24"/>
      <c r="J17" s="28">
        <v>21523</v>
      </c>
    </row>
    <row r="18" spans="3:10" ht="15">
      <c r="C18" s="6" t="s">
        <v>23</v>
      </c>
      <c r="H18" s="27">
        <v>11765</v>
      </c>
      <c r="I18" s="24"/>
      <c r="J18" s="28">
        <v>21973</v>
      </c>
    </row>
    <row r="19" spans="3:10" ht="15.75">
      <c r="C19" s="6" t="s">
        <v>24</v>
      </c>
      <c r="H19" s="29">
        <f>3697+1034+1</f>
        <v>4732</v>
      </c>
      <c r="I19" s="24"/>
      <c r="J19" s="30">
        <f>25004-J18</f>
        <v>3031</v>
      </c>
    </row>
    <row r="20" spans="8:10" ht="15.75">
      <c r="H20" s="29">
        <f>SUM(H15:H19)</f>
        <v>196652</v>
      </c>
      <c r="I20" s="24"/>
      <c r="J20" s="30">
        <f>SUM(J15:J19)</f>
        <v>228081</v>
      </c>
    </row>
    <row r="21" spans="8:10" ht="15">
      <c r="H21" s="27"/>
      <c r="I21" s="24"/>
      <c r="J21" s="28"/>
    </row>
    <row r="22" spans="2:10" ht="15">
      <c r="B22" s="1" t="s">
        <v>25</v>
      </c>
      <c r="H22" s="27"/>
      <c r="I22" s="24"/>
      <c r="J22" s="28"/>
    </row>
    <row r="23" spans="3:10" ht="15">
      <c r="C23" s="6" t="s">
        <v>100</v>
      </c>
      <c r="H23" s="27">
        <v>63435</v>
      </c>
      <c r="I23" s="24"/>
      <c r="J23" s="28">
        <v>84730</v>
      </c>
    </row>
    <row r="24" spans="3:10" ht="15">
      <c r="C24" s="6" t="s">
        <v>102</v>
      </c>
      <c r="H24" s="27">
        <v>8196</v>
      </c>
      <c r="I24" s="24"/>
      <c r="J24" s="28">
        <v>15071</v>
      </c>
    </row>
    <row r="25" spans="3:10" ht="15">
      <c r="C25" s="6" t="s">
        <v>103</v>
      </c>
      <c r="H25" s="27">
        <v>5605</v>
      </c>
      <c r="I25" s="24"/>
      <c r="J25" s="28">
        <v>6616</v>
      </c>
    </row>
    <row r="26" spans="3:10" ht="15">
      <c r="C26" s="6" t="s">
        <v>26</v>
      </c>
      <c r="H26" s="27">
        <v>292</v>
      </c>
      <c r="I26" s="24"/>
      <c r="J26" s="28">
        <v>459</v>
      </c>
    </row>
    <row r="27" spans="3:10" ht="15">
      <c r="C27" s="6" t="s">
        <v>27</v>
      </c>
      <c r="H27" s="27">
        <v>19741</v>
      </c>
      <c r="I27" s="24"/>
      <c r="J27" s="28">
        <f>1165+1668+22181</f>
        <v>25014</v>
      </c>
    </row>
    <row r="28" spans="3:10" ht="15">
      <c r="C28" s="6" t="s">
        <v>33</v>
      </c>
      <c r="H28" s="27">
        <v>0</v>
      </c>
      <c r="I28" s="24"/>
      <c r="J28" s="28">
        <v>347</v>
      </c>
    </row>
    <row r="29" spans="3:10" ht="15">
      <c r="C29" s="6" t="s">
        <v>84</v>
      </c>
      <c r="H29" s="27">
        <f>7394</f>
        <v>7394</v>
      </c>
      <c r="I29" s="24"/>
      <c r="J29" s="28">
        <v>10608</v>
      </c>
    </row>
    <row r="30" spans="3:10" ht="15">
      <c r="C30" s="6" t="s">
        <v>74</v>
      </c>
      <c r="H30" s="29">
        <f>2407+1698</f>
        <v>4105</v>
      </c>
      <c r="I30" s="24"/>
      <c r="J30" s="31">
        <v>3642</v>
      </c>
    </row>
    <row r="31" spans="8:10" ht="15">
      <c r="H31" s="29">
        <f>SUM(H23:H30)</f>
        <v>108768</v>
      </c>
      <c r="I31" s="24"/>
      <c r="J31" s="31">
        <f>SUM(J23:J30)</f>
        <v>146487</v>
      </c>
    </row>
    <row r="32" spans="8:10" ht="15">
      <c r="H32" s="29"/>
      <c r="I32" s="24"/>
      <c r="J32" s="31"/>
    </row>
    <row r="33" spans="2:10" ht="15">
      <c r="B33" s="1" t="s">
        <v>28</v>
      </c>
      <c r="H33" s="29">
        <f>+H20-H31</f>
        <v>87884</v>
      </c>
      <c r="I33" s="24"/>
      <c r="J33" s="31">
        <f>+J20-J31</f>
        <v>81594</v>
      </c>
    </row>
    <row r="34" spans="8:10" ht="15.75" thickBot="1">
      <c r="H34" s="3"/>
      <c r="I34" s="24"/>
      <c r="J34" s="24"/>
    </row>
    <row r="35" spans="8:10" ht="15.75" thickBot="1">
      <c r="H35" s="32">
        <f>+H10+H11+H33</f>
        <v>105646</v>
      </c>
      <c r="I35" s="24"/>
      <c r="J35" s="33">
        <f>+J10+J11+J33</f>
        <v>100068</v>
      </c>
    </row>
    <row r="36" spans="8:10" ht="15">
      <c r="H36" s="3"/>
      <c r="I36" s="24"/>
      <c r="J36" s="24"/>
    </row>
    <row r="37" spans="2:10" ht="15">
      <c r="B37" s="1" t="s">
        <v>29</v>
      </c>
      <c r="F37" s="52"/>
      <c r="H37" s="3"/>
      <c r="I37" s="24"/>
      <c r="J37" s="24"/>
    </row>
    <row r="38" spans="2:10" ht="15">
      <c r="B38" s="6" t="s">
        <v>30</v>
      </c>
      <c r="H38" s="25">
        <f>+EQUITY!H24</f>
        <v>68229.75</v>
      </c>
      <c r="I38" s="24"/>
      <c r="J38" s="34">
        <v>59242</v>
      </c>
    </row>
    <row r="39" spans="2:10" ht="15">
      <c r="B39" s="6" t="s">
        <v>35</v>
      </c>
      <c r="H39" s="27">
        <f>+EQUITY!J24</f>
        <v>10465.75</v>
      </c>
      <c r="I39" s="24"/>
      <c r="J39" s="28">
        <v>1478</v>
      </c>
    </row>
    <row r="40" spans="2:10" ht="15">
      <c r="B40" s="6" t="s">
        <v>36</v>
      </c>
      <c r="H40" s="27">
        <f>+EQUITY!N24</f>
        <v>26763</v>
      </c>
      <c r="I40" s="24"/>
      <c r="J40" s="28">
        <v>21485</v>
      </c>
    </row>
    <row r="41" spans="2:10" ht="15">
      <c r="B41" s="6" t="s">
        <v>104</v>
      </c>
      <c r="H41" s="29">
        <f>+EQUITY!L24</f>
        <v>1</v>
      </c>
      <c r="I41" s="24"/>
      <c r="J41" s="31">
        <v>600</v>
      </c>
    </row>
    <row r="42" spans="2:10" ht="15">
      <c r="B42" s="6" t="s">
        <v>31</v>
      </c>
      <c r="H42" s="3">
        <f>SUM(H38:H41)</f>
        <v>105459.5</v>
      </c>
      <c r="I42" s="24"/>
      <c r="J42" s="3">
        <f>SUM(J38:J41)</f>
        <v>82805</v>
      </c>
    </row>
    <row r="43" spans="8:10" ht="15">
      <c r="H43" s="3"/>
      <c r="I43" s="24"/>
      <c r="J43" s="24"/>
    </row>
    <row r="44" spans="2:10" ht="15">
      <c r="B44" s="6" t="s">
        <v>32</v>
      </c>
      <c r="H44" s="3"/>
      <c r="I44" s="24"/>
      <c r="J44" s="24"/>
    </row>
    <row r="45" spans="3:10" ht="15">
      <c r="C45" s="6" t="s">
        <v>33</v>
      </c>
      <c r="H45" s="25">
        <f>25-1</f>
        <v>24</v>
      </c>
      <c r="I45" s="24"/>
      <c r="J45" s="26">
        <v>17053</v>
      </c>
    </row>
    <row r="46" spans="3:10" ht="15">
      <c r="C46" s="6" t="s">
        <v>26</v>
      </c>
      <c r="H46" s="27">
        <v>102</v>
      </c>
      <c r="I46" s="24"/>
      <c r="J46" s="28">
        <v>202</v>
      </c>
    </row>
    <row r="47" spans="3:10" ht="15">
      <c r="C47" s="6" t="s">
        <v>94</v>
      </c>
      <c r="H47" s="29">
        <v>60</v>
      </c>
      <c r="I47" s="24"/>
      <c r="J47" s="31">
        <v>8</v>
      </c>
    </row>
    <row r="48" spans="8:10" ht="15.75" thickBot="1">
      <c r="H48" s="3"/>
      <c r="I48" s="24"/>
      <c r="J48" s="24"/>
    </row>
    <row r="49" spans="8:10" ht="15.75" thickBot="1">
      <c r="H49" s="32">
        <f>SUM(H42:H47)</f>
        <v>105645.5</v>
      </c>
      <c r="I49" s="24"/>
      <c r="J49" s="33">
        <f>SUM(J42:J47)</f>
        <v>100068</v>
      </c>
    </row>
    <row r="50" spans="8:10" ht="15">
      <c r="H50" s="3"/>
      <c r="I50" s="24"/>
      <c r="J50" s="35"/>
    </row>
    <row r="51" spans="2:10" ht="15">
      <c r="B51" s="6" t="s">
        <v>34</v>
      </c>
      <c r="H51" s="3"/>
      <c r="I51" s="24"/>
      <c r="J51" s="35"/>
    </row>
    <row r="52" spans="2:10" ht="30.75" customHeight="1" thickBot="1">
      <c r="B52" s="71" t="s">
        <v>133</v>
      </c>
      <c r="C52" s="71"/>
      <c r="D52" s="71"/>
      <c r="E52" s="71"/>
      <c r="F52" s="71"/>
      <c r="H52" s="36">
        <f>(+H42-H11)/(59241.8375*2+17975.5)*100</f>
        <v>68.14015986832692</v>
      </c>
      <c r="I52" s="24"/>
      <c r="J52" s="36">
        <f>(+J42-J11)/(59241.8375*2)*100</f>
        <v>58.967617268792516</v>
      </c>
    </row>
    <row r="53" ht="15.75" thickTop="1"/>
    <row r="54" spans="8:10" ht="15">
      <c r="H54" s="3"/>
      <c r="I54" s="24"/>
      <c r="J54" s="56"/>
    </row>
    <row r="55" spans="8:10" ht="15">
      <c r="H55" s="3"/>
      <c r="I55" s="24"/>
      <c r="J55" s="24"/>
    </row>
    <row r="56" spans="2:14" ht="36" customHeight="1">
      <c r="B56" s="69" t="s">
        <v>96</v>
      </c>
      <c r="C56" s="69"/>
      <c r="D56" s="69"/>
      <c r="E56" s="69"/>
      <c r="F56" s="69"/>
      <c r="G56" s="69"/>
      <c r="H56" s="69"/>
      <c r="I56" s="69"/>
      <c r="J56" s="69"/>
      <c r="K56" s="69"/>
      <c r="L56" s="12"/>
      <c r="M56" s="12"/>
      <c r="N56" s="12"/>
    </row>
    <row r="59" spans="1:11" ht="14.25">
      <c r="A59" s="72" t="s">
        <v>119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</row>
    <row r="65" spans="8:10" ht="15">
      <c r="H65" s="3">
        <f>+H35-H49-0.5</f>
        <v>0</v>
      </c>
      <c r="I65" s="24"/>
      <c r="J65" s="24">
        <f>+J35-J49</f>
        <v>0</v>
      </c>
    </row>
    <row r="78" ht="15">
      <c r="H78" s="37"/>
    </row>
    <row r="79" ht="15">
      <c r="H79" s="37"/>
    </row>
    <row r="80" spans="8:10" ht="15">
      <c r="H80" s="38"/>
      <c r="J80" s="39"/>
    </row>
  </sheetData>
  <mergeCells count="3">
    <mergeCell ref="A59:K59"/>
    <mergeCell ref="B56:K56"/>
    <mergeCell ref="B52:F52"/>
  </mergeCells>
  <printOptions horizontalCentered="1"/>
  <pageMargins left="0.5" right="0.5" top="0.5" bottom="0.5" header="0.5" footer="0.5"/>
  <pageSetup fitToHeight="1" fitToWidth="1" horizontalDpi="600" verticalDpi="600" orientation="portrait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view="pageBreakPreview" zoomScale="60" zoomScaleNormal="75" workbookViewId="0" topLeftCell="A26">
      <selection activeCell="L54" sqref="L54"/>
    </sheetView>
  </sheetViews>
  <sheetFormatPr defaultColWidth="9.140625" defaultRowHeight="12.75"/>
  <cols>
    <col min="1" max="1" width="3.421875" style="6" customWidth="1"/>
    <col min="2" max="2" width="5.421875" style="6" customWidth="1"/>
    <col min="3" max="3" width="7.57421875" style="6" customWidth="1"/>
    <col min="4" max="5" width="9.140625" style="6" customWidth="1"/>
    <col min="6" max="6" width="6.8515625" style="6" customWidth="1"/>
    <col min="7" max="7" width="6.28125" style="6" customWidth="1"/>
    <col min="8" max="8" width="12.7109375" style="6" customWidth="1"/>
    <col min="9" max="9" width="2.7109375" style="6" customWidth="1"/>
    <col min="10" max="10" width="12.7109375" style="6" customWidth="1"/>
    <col min="11" max="11" width="2.421875" style="6" customWidth="1"/>
    <col min="12" max="12" width="12.7109375" style="6" customWidth="1"/>
    <col min="13" max="13" width="2.7109375" style="6" customWidth="1"/>
    <col min="14" max="14" width="12.7109375" style="6" customWidth="1"/>
    <col min="15" max="15" width="2.7109375" style="6" customWidth="1"/>
    <col min="16" max="16" width="12.7109375" style="1" customWidth="1"/>
    <col min="17" max="16384" width="9.140625" style="6" customWidth="1"/>
  </cols>
  <sheetData>
    <row r="1" ht="15">
      <c r="C1" s="1"/>
    </row>
    <row r="2" spans="3:13" ht="15">
      <c r="C2" s="1"/>
      <c r="E2" s="1" t="s">
        <v>83</v>
      </c>
      <c r="F2" s="7"/>
      <c r="G2" s="7"/>
      <c r="H2" s="7"/>
      <c r="I2" s="7"/>
      <c r="J2" s="7"/>
      <c r="K2" s="7"/>
      <c r="L2" s="7"/>
      <c r="M2" s="7"/>
    </row>
    <row r="3" spans="3:13" ht="15">
      <c r="C3" s="1"/>
      <c r="E3" s="7"/>
      <c r="F3" s="7"/>
      <c r="G3" s="7"/>
      <c r="H3" s="7"/>
      <c r="I3" s="7"/>
      <c r="J3" s="7"/>
      <c r="K3" s="7"/>
      <c r="L3" s="7"/>
      <c r="M3" s="7"/>
    </row>
    <row r="4" spans="5:13" ht="15">
      <c r="E4" s="8" t="s">
        <v>37</v>
      </c>
      <c r="F4" s="10"/>
      <c r="G4" s="10"/>
      <c r="H4" s="10"/>
      <c r="I4" s="10"/>
      <c r="J4" s="7"/>
      <c r="K4" s="7"/>
      <c r="L4" s="7"/>
      <c r="M4" s="7"/>
    </row>
    <row r="5" spans="5:13" ht="15">
      <c r="E5" s="9" t="s">
        <v>130</v>
      </c>
      <c r="F5" s="10"/>
      <c r="G5" s="10"/>
      <c r="H5" s="10"/>
      <c r="I5" s="10"/>
      <c r="J5" s="7"/>
      <c r="K5" s="7"/>
      <c r="L5" s="7"/>
      <c r="M5" s="7"/>
    </row>
    <row r="6" spans="5:13" ht="15">
      <c r="E6" s="11" t="s">
        <v>0</v>
      </c>
      <c r="F6" s="7"/>
      <c r="G6" s="7"/>
      <c r="H6" s="7"/>
      <c r="I6" s="7"/>
      <c r="J6" s="7"/>
      <c r="K6" s="7"/>
      <c r="L6" s="7"/>
      <c r="M6" s="7"/>
    </row>
    <row r="7" spans="5:13" ht="15">
      <c r="E7" s="11"/>
      <c r="F7" s="7"/>
      <c r="G7" s="7"/>
      <c r="H7" s="7"/>
      <c r="I7" s="7"/>
      <c r="J7" s="7"/>
      <c r="K7" s="7"/>
      <c r="L7" s="7"/>
      <c r="M7" s="7"/>
    </row>
    <row r="8" spans="8:15" ht="15">
      <c r="H8" s="75" t="s">
        <v>105</v>
      </c>
      <c r="I8" s="75"/>
      <c r="J8" s="75"/>
      <c r="K8" s="76"/>
      <c r="L8" s="76"/>
      <c r="M8" s="1"/>
      <c r="N8" s="2" t="s">
        <v>67</v>
      </c>
      <c r="O8" s="1"/>
    </row>
    <row r="9" spans="8:15" ht="15">
      <c r="H9" s="2" t="s">
        <v>38</v>
      </c>
      <c r="I9" s="2"/>
      <c r="J9" s="2" t="s">
        <v>38</v>
      </c>
      <c r="K9" s="2"/>
      <c r="L9" s="2" t="s">
        <v>106</v>
      </c>
      <c r="M9" s="1"/>
      <c r="N9" s="2" t="s">
        <v>41</v>
      </c>
      <c r="O9" s="1"/>
    </row>
    <row r="10" spans="8:16" ht="15">
      <c r="H10" s="2" t="s">
        <v>39</v>
      </c>
      <c r="I10" s="2"/>
      <c r="J10" s="2" t="s">
        <v>40</v>
      </c>
      <c r="K10" s="2"/>
      <c r="L10" s="2" t="s">
        <v>107</v>
      </c>
      <c r="M10" s="1"/>
      <c r="N10" s="2" t="s">
        <v>42</v>
      </c>
      <c r="O10" s="1"/>
      <c r="P10" s="2" t="s">
        <v>43</v>
      </c>
    </row>
    <row r="11" spans="2:16" ht="15">
      <c r="B11" s="62" t="s">
        <v>127</v>
      </c>
      <c r="H11" s="5" t="s">
        <v>17</v>
      </c>
      <c r="I11" s="5"/>
      <c r="J11" s="5" t="s">
        <v>17</v>
      </c>
      <c r="K11" s="5"/>
      <c r="L11" s="5" t="s">
        <v>17</v>
      </c>
      <c r="M11" s="51"/>
      <c r="N11" s="5" t="s">
        <v>17</v>
      </c>
      <c r="O11" s="51"/>
      <c r="P11" s="5" t="s">
        <v>17</v>
      </c>
    </row>
    <row r="13" spans="2:16" ht="15">
      <c r="B13" s="6" t="s">
        <v>108</v>
      </c>
      <c r="H13" s="24">
        <v>59242</v>
      </c>
      <c r="I13" s="24"/>
      <c r="J13" s="24">
        <v>1478</v>
      </c>
      <c r="K13" s="24"/>
      <c r="L13" s="24">
        <v>600</v>
      </c>
      <c r="M13" s="24"/>
      <c r="N13" s="24">
        <v>21485</v>
      </c>
      <c r="O13" s="24"/>
      <c r="P13" s="3">
        <f>SUM(H13:N13)</f>
        <v>82805</v>
      </c>
    </row>
    <row r="14" spans="2:16" ht="15">
      <c r="B14" s="41"/>
      <c r="H14" s="24"/>
      <c r="I14" s="24"/>
      <c r="J14" s="24"/>
      <c r="K14" s="24"/>
      <c r="L14" s="24"/>
      <c r="M14" s="24"/>
      <c r="N14" s="24"/>
      <c r="O14" s="24"/>
      <c r="P14" s="3"/>
    </row>
    <row r="15" spans="2:16" ht="15">
      <c r="B15" s="6" t="s">
        <v>44</v>
      </c>
      <c r="H15" s="24">
        <v>0</v>
      </c>
      <c r="I15" s="24"/>
      <c r="J15" s="24">
        <v>0</v>
      </c>
      <c r="K15" s="24"/>
      <c r="L15" s="24">
        <v>0</v>
      </c>
      <c r="M15" s="24"/>
      <c r="N15" s="24">
        <v>0</v>
      </c>
      <c r="O15" s="24"/>
      <c r="P15" s="3">
        <f>SUM(H15:N15)</f>
        <v>0</v>
      </c>
    </row>
    <row r="16" spans="2:16" ht="15">
      <c r="B16" s="41"/>
      <c r="H16" s="24"/>
      <c r="I16" s="24"/>
      <c r="J16" s="24"/>
      <c r="K16" s="24"/>
      <c r="L16" s="24"/>
      <c r="M16" s="24"/>
      <c r="N16" s="24"/>
      <c r="O16" s="24"/>
      <c r="P16" s="3"/>
    </row>
    <row r="17" spans="2:16" ht="15">
      <c r="B17" s="6" t="s">
        <v>45</v>
      </c>
      <c r="H17" s="24">
        <f>17975.5/2</f>
        <v>8987.75</v>
      </c>
      <c r="I17" s="24"/>
      <c r="J17" s="24">
        <f>+H17</f>
        <v>8987.75</v>
      </c>
      <c r="K17" s="24"/>
      <c r="L17" s="24">
        <v>-599</v>
      </c>
      <c r="M17" s="24"/>
      <c r="N17" s="24">
        <v>0</v>
      </c>
      <c r="O17" s="24"/>
      <c r="P17" s="3">
        <f>SUM(H17:N17)</f>
        <v>17376.5</v>
      </c>
    </row>
    <row r="18" spans="8:16" ht="15">
      <c r="H18" s="24"/>
      <c r="I18" s="24"/>
      <c r="J18" s="24"/>
      <c r="K18" s="24"/>
      <c r="L18" s="24"/>
      <c r="M18" s="24"/>
      <c r="N18" s="24"/>
      <c r="O18" s="24"/>
      <c r="P18" s="3"/>
    </row>
    <row r="19" spans="2:16" ht="15">
      <c r="B19" s="6" t="s">
        <v>113</v>
      </c>
      <c r="H19" s="24">
        <v>0</v>
      </c>
      <c r="I19" s="24"/>
      <c r="J19" s="24">
        <v>0</v>
      </c>
      <c r="K19" s="24"/>
      <c r="L19" s="24">
        <v>0</v>
      </c>
      <c r="M19" s="24"/>
      <c r="N19" s="24">
        <f>+'IS'!L38</f>
        <v>7243</v>
      </c>
      <c r="O19" s="24"/>
      <c r="P19" s="3">
        <f>SUM(H19:N19)</f>
        <v>7243</v>
      </c>
    </row>
    <row r="20" spans="8:16" ht="15">
      <c r="H20" s="24"/>
      <c r="I20" s="24"/>
      <c r="J20" s="24"/>
      <c r="K20" s="24"/>
      <c r="L20" s="24"/>
      <c r="M20" s="24"/>
      <c r="N20" s="24"/>
      <c r="O20" s="24"/>
      <c r="P20" s="3"/>
    </row>
    <row r="21" spans="2:16" ht="15">
      <c r="B21" s="6" t="s">
        <v>131</v>
      </c>
      <c r="H21" s="24"/>
      <c r="I21" s="24"/>
      <c r="J21" s="24"/>
      <c r="K21" s="24"/>
      <c r="L21" s="24"/>
      <c r="M21" s="24"/>
      <c r="N21" s="24"/>
      <c r="O21" s="24"/>
      <c r="P21" s="3"/>
    </row>
    <row r="22" spans="2:16" ht="15">
      <c r="B22" s="6" t="s">
        <v>132</v>
      </c>
      <c r="H22" s="24">
        <v>0</v>
      </c>
      <c r="I22" s="24"/>
      <c r="J22" s="24">
        <v>0</v>
      </c>
      <c r="K22" s="24"/>
      <c r="L22" s="24">
        <v>0</v>
      </c>
      <c r="M22" s="24"/>
      <c r="N22" s="24">
        <v>-1965</v>
      </c>
      <c r="O22" s="24"/>
      <c r="P22" s="3">
        <f>SUM(H22:N22)</f>
        <v>-1965</v>
      </c>
    </row>
    <row r="23" spans="8:16" ht="15">
      <c r="H23" s="24"/>
      <c r="I23" s="24"/>
      <c r="J23" s="24"/>
      <c r="K23" s="24"/>
      <c r="L23" s="24"/>
      <c r="M23" s="24"/>
      <c r="N23" s="24"/>
      <c r="O23" s="24"/>
      <c r="P23" s="3"/>
    </row>
    <row r="24" spans="2:16" s="1" customFormat="1" ht="15.75" thickBot="1">
      <c r="B24" s="1" t="s">
        <v>128</v>
      </c>
      <c r="H24" s="4">
        <f>SUM(H13:H23)</f>
        <v>68229.75</v>
      </c>
      <c r="I24" s="3"/>
      <c r="J24" s="4">
        <f>SUM(J13:J23)</f>
        <v>10465.75</v>
      </c>
      <c r="K24" s="16"/>
      <c r="L24" s="4">
        <f>SUM(L13:L23)</f>
        <v>1</v>
      </c>
      <c r="M24" s="24"/>
      <c r="N24" s="4">
        <f>SUM(N12:N23)</f>
        <v>26763</v>
      </c>
      <c r="O24" s="3"/>
      <c r="P24" s="4">
        <f>SUM(P13:P23)</f>
        <v>105459.5</v>
      </c>
    </row>
    <row r="25" spans="8:16" ht="15.75" thickTop="1">
      <c r="H25" s="24"/>
      <c r="I25" s="24"/>
      <c r="J25" s="24"/>
      <c r="K25" s="24"/>
      <c r="L25" s="24"/>
      <c r="M25" s="24"/>
      <c r="N25" s="24"/>
      <c r="O25" s="24"/>
      <c r="P25" s="3"/>
    </row>
    <row r="28" ht="15">
      <c r="B28" s="63" t="s">
        <v>126</v>
      </c>
    </row>
    <row r="30" spans="2:16" ht="15">
      <c r="B30" s="6" t="s">
        <v>109</v>
      </c>
      <c r="H30" s="40" t="s">
        <v>75</v>
      </c>
      <c r="I30" s="24"/>
      <c r="J30" s="24">
        <v>0</v>
      </c>
      <c r="K30" s="24"/>
      <c r="L30" s="24">
        <v>0</v>
      </c>
      <c r="M30" s="24"/>
      <c r="N30" s="24">
        <v>-89</v>
      </c>
      <c r="O30" s="24"/>
      <c r="P30" s="3">
        <f>SUM(H30:N30)</f>
        <v>-89</v>
      </c>
    </row>
    <row r="31" spans="2:16" ht="15">
      <c r="B31" s="41"/>
      <c r="H31" s="24"/>
      <c r="I31" s="24"/>
      <c r="J31" s="24"/>
      <c r="K31" s="24"/>
      <c r="L31" s="24"/>
      <c r="M31" s="24"/>
      <c r="N31" s="24"/>
      <c r="O31" s="24"/>
      <c r="P31" s="3"/>
    </row>
    <row r="32" spans="2:16" ht="15">
      <c r="B32" s="6" t="s">
        <v>44</v>
      </c>
      <c r="H32" s="24">
        <v>59242</v>
      </c>
      <c r="I32" s="24"/>
      <c r="J32" s="24">
        <v>0</v>
      </c>
      <c r="K32" s="24"/>
      <c r="L32" s="24">
        <v>0</v>
      </c>
      <c r="M32" s="24"/>
      <c r="N32" s="24">
        <v>0</v>
      </c>
      <c r="O32" s="24"/>
      <c r="P32" s="3">
        <f>SUM(H32:N32)</f>
        <v>59242</v>
      </c>
    </row>
    <row r="33" spans="2:16" ht="15">
      <c r="B33" s="41"/>
      <c r="H33" s="24"/>
      <c r="I33" s="24"/>
      <c r="J33" s="24"/>
      <c r="K33" s="24"/>
      <c r="L33" s="24"/>
      <c r="M33" s="24"/>
      <c r="N33" s="24"/>
      <c r="O33" s="24"/>
      <c r="P33" s="3"/>
    </row>
    <row r="34" spans="2:16" ht="15">
      <c r="B34" s="6" t="s">
        <v>45</v>
      </c>
      <c r="H34" s="24">
        <v>0</v>
      </c>
      <c r="I34" s="24"/>
      <c r="J34" s="24">
        <v>0</v>
      </c>
      <c r="K34" s="24"/>
      <c r="L34" s="24">
        <v>0</v>
      </c>
      <c r="M34" s="24"/>
      <c r="N34" s="24">
        <v>0</v>
      </c>
      <c r="O34" s="24"/>
      <c r="P34" s="3">
        <f>SUM(H34:N34)</f>
        <v>0</v>
      </c>
    </row>
    <row r="35" spans="8:16" ht="15">
      <c r="H35" s="24"/>
      <c r="I35" s="24"/>
      <c r="J35" s="24"/>
      <c r="K35" s="24"/>
      <c r="L35" s="24"/>
      <c r="M35" s="24"/>
      <c r="N35" s="24"/>
      <c r="O35" s="24"/>
      <c r="P35" s="3"/>
    </row>
    <row r="36" spans="2:16" ht="15">
      <c r="B36" s="6" t="s">
        <v>68</v>
      </c>
      <c r="H36" s="24">
        <v>0</v>
      </c>
      <c r="I36" s="24"/>
      <c r="J36" s="24">
        <f>0.7*5000</f>
        <v>3500</v>
      </c>
      <c r="K36" s="24"/>
      <c r="L36" s="24">
        <v>0</v>
      </c>
      <c r="M36" s="24"/>
      <c r="N36" s="24">
        <v>0</v>
      </c>
      <c r="O36" s="24"/>
      <c r="P36" s="3">
        <f>SUM(H36:N36)</f>
        <v>3500</v>
      </c>
    </row>
    <row r="37" spans="8:16" ht="15">
      <c r="H37" s="24"/>
      <c r="I37" s="24"/>
      <c r="J37" s="24"/>
      <c r="K37" s="24"/>
      <c r="L37" s="24"/>
      <c r="M37" s="24"/>
      <c r="N37" s="24"/>
      <c r="O37" s="24"/>
      <c r="P37" s="3"/>
    </row>
    <row r="38" spans="2:16" ht="15">
      <c r="B38" s="6" t="s">
        <v>46</v>
      </c>
      <c r="H38" s="24">
        <v>0</v>
      </c>
      <c r="I38" s="24"/>
      <c r="J38" s="24">
        <f>-2355+266</f>
        <v>-2089</v>
      </c>
      <c r="K38" s="24"/>
      <c r="L38" s="24">
        <v>0</v>
      </c>
      <c r="M38" s="24"/>
      <c r="N38" s="24">
        <v>0</v>
      </c>
      <c r="O38" s="24"/>
      <c r="P38" s="3">
        <f>SUM(H38:N38)</f>
        <v>-2089</v>
      </c>
    </row>
    <row r="39" spans="8:16" ht="15">
      <c r="H39" s="24"/>
      <c r="I39" s="24"/>
      <c r="J39" s="24"/>
      <c r="K39" s="24"/>
      <c r="L39" s="24"/>
      <c r="M39" s="24"/>
      <c r="N39" s="24"/>
      <c r="O39" s="24"/>
      <c r="P39" s="3"/>
    </row>
    <row r="40" spans="2:16" ht="15">
      <c r="B40" s="6" t="s">
        <v>113</v>
      </c>
      <c r="H40" s="24">
        <v>0</v>
      </c>
      <c r="I40" s="24"/>
      <c r="J40" s="24">
        <v>0</v>
      </c>
      <c r="K40" s="24"/>
      <c r="L40" s="24">
        <v>0</v>
      </c>
      <c r="M40" s="24"/>
      <c r="N40" s="24">
        <f>5523+10074</f>
        <v>15597</v>
      </c>
      <c r="O40" s="24"/>
      <c r="P40" s="3">
        <f>SUM(H40:N40)</f>
        <v>15597</v>
      </c>
    </row>
    <row r="41" spans="8:16" ht="15">
      <c r="H41" s="24"/>
      <c r="I41" s="24"/>
      <c r="J41" s="24"/>
      <c r="K41" s="24"/>
      <c r="L41" s="24"/>
      <c r="M41" s="24"/>
      <c r="N41" s="24"/>
      <c r="O41" s="24"/>
      <c r="P41" s="3"/>
    </row>
    <row r="42" spans="2:16" ht="15.75" thickBot="1">
      <c r="B42" s="6" t="s">
        <v>129</v>
      </c>
      <c r="C42" s="1"/>
      <c r="D42" s="1"/>
      <c r="E42" s="1"/>
      <c r="F42" s="1"/>
      <c r="G42" s="1"/>
      <c r="H42" s="4">
        <f>SUM(H30:H41)</f>
        <v>59242</v>
      </c>
      <c r="I42" s="3"/>
      <c r="J42" s="4">
        <f>SUM(J30:J41)</f>
        <v>1411</v>
      </c>
      <c r="K42" s="16"/>
      <c r="L42" s="4">
        <f>SUM(L30:L41)</f>
        <v>0</v>
      </c>
      <c r="M42" s="3"/>
      <c r="N42" s="4">
        <f>SUM(N30:N41)</f>
        <v>15508</v>
      </c>
      <c r="O42" s="3"/>
      <c r="P42" s="4">
        <f>SUM(P30:P41)</f>
        <v>76161</v>
      </c>
    </row>
    <row r="43" spans="8:16" ht="15.75" thickTop="1">
      <c r="H43" s="24"/>
      <c r="I43" s="24"/>
      <c r="J43" s="24"/>
      <c r="K43" s="24"/>
      <c r="L43" s="24"/>
      <c r="M43" s="24"/>
      <c r="N43" s="24"/>
      <c r="O43" s="24"/>
      <c r="P43" s="3"/>
    </row>
    <row r="44" ht="15">
      <c r="H44" s="1"/>
    </row>
    <row r="45" spans="3:8" ht="15">
      <c r="C45" s="6" t="s">
        <v>77</v>
      </c>
      <c r="H45" s="1"/>
    </row>
    <row r="46" ht="15">
      <c r="H46" s="1"/>
    </row>
    <row r="47" spans="2:16" ht="32.25" customHeight="1">
      <c r="B47" s="69" t="s">
        <v>110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52" spans="1:16" ht="14.25">
      <c r="A52" s="72" t="s">
        <v>120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3"/>
      <c r="O52" s="73"/>
      <c r="P52" s="73"/>
    </row>
  </sheetData>
  <mergeCells count="3">
    <mergeCell ref="A52:P52"/>
    <mergeCell ref="B47:P47"/>
    <mergeCell ref="H8:L8"/>
  </mergeCells>
  <printOptions horizontalCentered="1" verticalCentered="1"/>
  <pageMargins left="0.25" right="0.25" top="0.5" bottom="0.5" header="0.5" footer="0.5"/>
  <pageSetup fitToHeight="1" fitToWidth="1" horizontalDpi="600" verticalDpi="600" orientation="landscape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7"/>
  <sheetViews>
    <sheetView view="pageBreakPreview" zoomScale="60" zoomScaleNormal="75" workbookViewId="0" topLeftCell="A42">
      <selection activeCell="H57" sqref="H57"/>
    </sheetView>
  </sheetViews>
  <sheetFormatPr defaultColWidth="9.140625" defaultRowHeight="12.75"/>
  <cols>
    <col min="1" max="1" width="3.421875" style="6" customWidth="1"/>
    <col min="2" max="2" width="5.00390625" style="6" customWidth="1"/>
    <col min="3" max="3" width="13.140625" style="6" customWidth="1"/>
    <col min="4" max="4" width="12.421875" style="6" customWidth="1"/>
    <col min="5" max="5" width="10.8515625" style="6" customWidth="1"/>
    <col min="6" max="6" width="15.7109375" style="6" customWidth="1"/>
    <col min="7" max="7" width="15.8515625" style="6" customWidth="1"/>
    <col min="8" max="8" width="18.00390625" style="6" customWidth="1"/>
    <col min="9" max="9" width="14.00390625" style="6" customWidth="1"/>
    <col min="10" max="10" width="17.7109375" style="6" customWidth="1"/>
    <col min="11" max="11" width="5.57421875" style="6" customWidth="1"/>
    <col min="12" max="12" width="0.2890625" style="6" customWidth="1"/>
    <col min="13" max="13" width="11.28125" style="6" bestFit="1" customWidth="1"/>
    <col min="14" max="14" width="11.28125" style="24" customWidth="1"/>
    <col min="15" max="16384" width="9.140625" style="6" customWidth="1"/>
  </cols>
  <sheetData>
    <row r="1" ht="15">
      <c r="B1" s="1"/>
    </row>
    <row r="2" spans="2:11" ht="15">
      <c r="B2" s="1"/>
      <c r="D2" s="1" t="s">
        <v>83</v>
      </c>
      <c r="E2" s="7"/>
      <c r="F2" s="7"/>
      <c r="G2" s="7"/>
      <c r="H2" s="7"/>
      <c r="I2" s="7"/>
      <c r="J2" s="7"/>
      <c r="K2" s="7"/>
    </row>
    <row r="3" spans="2:11" ht="15">
      <c r="B3" s="1"/>
      <c r="D3" s="7"/>
      <c r="E3" s="7"/>
      <c r="F3" s="7"/>
      <c r="G3" s="7"/>
      <c r="H3" s="7"/>
      <c r="I3" s="7"/>
      <c r="J3" s="7"/>
      <c r="K3" s="7"/>
    </row>
    <row r="4" spans="4:11" ht="15">
      <c r="D4" s="8" t="s">
        <v>47</v>
      </c>
      <c r="E4" s="10"/>
      <c r="F4" s="10"/>
      <c r="G4" s="10"/>
      <c r="H4" s="10"/>
      <c r="I4" s="7"/>
      <c r="J4" s="7"/>
      <c r="K4" s="7"/>
    </row>
    <row r="5" spans="4:11" ht="15">
      <c r="D5" s="9" t="s">
        <v>136</v>
      </c>
      <c r="E5" s="10"/>
      <c r="F5" s="10"/>
      <c r="G5" s="10"/>
      <c r="H5" s="10"/>
      <c r="I5" s="7"/>
      <c r="J5" s="7"/>
      <c r="K5" s="7"/>
    </row>
    <row r="6" spans="4:11" ht="15">
      <c r="D6" s="11" t="s">
        <v>0</v>
      </c>
      <c r="E6" s="7"/>
      <c r="F6" s="7"/>
      <c r="G6" s="7"/>
      <c r="H6" s="22" t="s">
        <v>18</v>
      </c>
      <c r="I6" s="17"/>
      <c r="J6" s="22"/>
      <c r="K6" s="7"/>
    </row>
    <row r="7" spans="4:11" ht="47.25" customHeight="1">
      <c r="D7" s="11"/>
      <c r="E7" s="7"/>
      <c r="F7" s="7"/>
      <c r="G7" s="7"/>
      <c r="H7" s="50" t="s">
        <v>122</v>
      </c>
      <c r="I7" s="17"/>
      <c r="J7" s="64" t="s">
        <v>112</v>
      </c>
      <c r="K7" s="7"/>
    </row>
    <row r="8" spans="4:11" ht="15">
      <c r="D8" s="7"/>
      <c r="E8" s="7"/>
      <c r="F8" s="7"/>
      <c r="G8" s="7"/>
      <c r="H8" s="22" t="s">
        <v>123</v>
      </c>
      <c r="I8" s="22"/>
      <c r="J8" s="17" t="s">
        <v>125</v>
      </c>
      <c r="K8" s="7"/>
    </row>
    <row r="9" spans="8:11" ht="15">
      <c r="H9" s="22" t="s">
        <v>17</v>
      </c>
      <c r="I9" s="22"/>
      <c r="J9" s="17" t="s">
        <v>17</v>
      </c>
      <c r="K9" s="7"/>
    </row>
    <row r="10" spans="8:11" ht="14.25">
      <c r="H10" s="7"/>
      <c r="I10" s="7"/>
      <c r="J10" s="7"/>
      <c r="K10" s="7"/>
    </row>
    <row r="11" spans="2:10" ht="15">
      <c r="B11" s="1" t="s">
        <v>48</v>
      </c>
      <c r="H11" s="24"/>
      <c r="J11" s="24"/>
    </row>
    <row r="12" spans="3:13" ht="14.25">
      <c r="C12" s="6" t="s">
        <v>49</v>
      </c>
      <c r="H12" s="26">
        <v>95219</v>
      </c>
      <c r="I12" s="24"/>
      <c r="J12" s="26">
        <v>78290</v>
      </c>
      <c r="L12" s="13"/>
      <c r="M12" s="13"/>
    </row>
    <row r="13" spans="3:13" ht="14.25">
      <c r="C13" s="6" t="s">
        <v>90</v>
      </c>
      <c r="H13" s="28">
        <v>-88264</v>
      </c>
      <c r="J13" s="28">
        <v>-92190</v>
      </c>
      <c r="L13" s="13"/>
      <c r="M13" s="13"/>
    </row>
    <row r="14" spans="3:13" ht="27" customHeight="1">
      <c r="C14" s="71" t="s">
        <v>92</v>
      </c>
      <c r="D14" s="71"/>
      <c r="E14" s="71"/>
      <c r="F14" s="71"/>
      <c r="G14" s="77"/>
      <c r="H14" s="28">
        <v>-1603</v>
      </c>
      <c r="J14" s="28">
        <v>2630</v>
      </c>
      <c r="L14" s="13"/>
      <c r="M14" s="13"/>
    </row>
    <row r="15" spans="3:13" ht="14.25">
      <c r="C15" s="6" t="s">
        <v>52</v>
      </c>
      <c r="G15" s="13"/>
      <c r="H15" s="28">
        <v>-6530</v>
      </c>
      <c r="J15" s="28">
        <v>-3426</v>
      </c>
      <c r="L15" s="13"/>
      <c r="M15" s="13"/>
    </row>
    <row r="16" spans="8:12" ht="14.25">
      <c r="H16" s="31"/>
      <c r="J16" s="31"/>
      <c r="L16" s="13"/>
    </row>
    <row r="17" spans="3:13" ht="15">
      <c r="C17" s="1" t="s">
        <v>53</v>
      </c>
      <c r="H17" s="24">
        <f>SUM(H12:H16)</f>
        <v>-1178</v>
      </c>
      <c r="J17" s="24">
        <f>SUM(J12:J16)</f>
        <v>-14696</v>
      </c>
      <c r="L17" s="24"/>
      <c r="M17" s="24"/>
    </row>
    <row r="18" spans="8:10" ht="14.25">
      <c r="H18" s="24"/>
      <c r="J18" s="24"/>
    </row>
    <row r="19" spans="8:10" ht="14.25">
      <c r="H19" s="24"/>
      <c r="J19" s="24"/>
    </row>
    <row r="20" spans="2:10" ht="15">
      <c r="B20" s="1" t="s">
        <v>54</v>
      </c>
      <c r="H20" s="24"/>
      <c r="J20" s="24"/>
    </row>
    <row r="21" spans="2:13" ht="15">
      <c r="B21" s="1"/>
      <c r="C21" s="6" t="s">
        <v>56</v>
      </c>
      <c r="H21" s="26">
        <v>0</v>
      </c>
      <c r="J21" s="26">
        <v>20119</v>
      </c>
      <c r="L21" s="13"/>
      <c r="M21" s="13"/>
    </row>
    <row r="22" spans="3:12" ht="14.25">
      <c r="C22" s="6" t="s">
        <v>50</v>
      </c>
      <c r="H22" s="28">
        <v>227</v>
      </c>
      <c r="J22" s="28">
        <v>382</v>
      </c>
      <c r="L22" s="13"/>
    </row>
    <row r="23" spans="3:12" ht="14.25">
      <c r="C23" s="6" t="s">
        <v>79</v>
      </c>
      <c r="H23" s="28">
        <v>90</v>
      </c>
      <c r="J23" s="28">
        <v>114</v>
      </c>
      <c r="L23" s="13"/>
    </row>
    <row r="24" spans="3:12" ht="14.25">
      <c r="C24" s="6" t="s">
        <v>57</v>
      </c>
      <c r="H24" s="28">
        <v>-5</v>
      </c>
      <c r="J24" s="28">
        <v>-203</v>
      </c>
      <c r="L24" s="13"/>
    </row>
    <row r="25" spans="3:12" ht="14.25">
      <c r="C25" s="6" t="s">
        <v>78</v>
      </c>
      <c r="H25" s="28">
        <v>0</v>
      </c>
      <c r="J25" s="28">
        <v>130</v>
      </c>
      <c r="L25" s="13"/>
    </row>
    <row r="26" spans="8:12" ht="14.25">
      <c r="H26" s="31"/>
      <c r="J26" s="31"/>
      <c r="L26" s="13"/>
    </row>
    <row r="27" spans="3:13" ht="15">
      <c r="C27" s="1" t="s">
        <v>59</v>
      </c>
      <c r="H27" s="24">
        <f>SUM(H21:H26)</f>
        <v>312</v>
      </c>
      <c r="J27" s="24">
        <f>SUM(J21:J26)</f>
        <v>20542</v>
      </c>
      <c r="L27" s="24"/>
      <c r="M27" s="24"/>
    </row>
    <row r="28" spans="8:10" ht="14.25">
      <c r="H28" s="24"/>
      <c r="J28" s="24"/>
    </row>
    <row r="29" spans="8:10" ht="14.25">
      <c r="H29" s="24"/>
      <c r="J29" s="24"/>
    </row>
    <row r="30" spans="2:10" ht="15">
      <c r="B30" s="1" t="s">
        <v>60</v>
      </c>
      <c r="H30" s="24"/>
      <c r="J30" s="24"/>
    </row>
    <row r="31" spans="3:12" ht="14.25">
      <c r="C31" s="6" t="s">
        <v>55</v>
      </c>
      <c r="H31" s="26">
        <v>0</v>
      </c>
      <c r="J31" s="26">
        <v>6000</v>
      </c>
      <c r="L31" s="13"/>
    </row>
    <row r="32" spans="3:12" ht="14.25">
      <c r="C32" s="6" t="s">
        <v>58</v>
      </c>
      <c r="H32" s="28">
        <v>0</v>
      </c>
      <c r="J32" s="28">
        <v>-2089</v>
      </c>
      <c r="L32" s="13"/>
    </row>
    <row r="33" spans="3:12" ht="14.25">
      <c r="C33" s="6" t="s">
        <v>61</v>
      </c>
      <c r="H33" s="28">
        <v>0</v>
      </c>
      <c r="J33" s="28">
        <v>18000</v>
      </c>
      <c r="L33" s="13"/>
    </row>
    <row r="34" spans="3:12" ht="14.25">
      <c r="C34" s="6" t="s">
        <v>91</v>
      </c>
      <c r="H34" s="28">
        <v>0</v>
      </c>
      <c r="J34" s="28">
        <v>146</v>
      </c>
      <c r="L34" s="13"/>
    </row>
    <row r="35" spans="3:12" ht="14.25">
      <c r="C35" s="6" t="s">
        <v>62</v>
      </c>
      <c r="H35" s="28">
        <v>-267</v>
      </c>
      <c r="J35" s="28">
        <v>-436</v>
      </c>
      <c r="L35" s="13"/>
    </row>
    <row r="36" spans="3:12" ht="14.25">
      <c r="C36" s="6" t="s">
        <v>51</v>
      </c>
      <c r="H36" s="28">
        <v>-599</v>
      </c>
      <c r="J36" s="28">
        <v>-249</v>
      </c>
      <c r="L36" s="13"/>
    </row>
    <row r="37" spans="3:12" ht="14.25">
      <c r="C37" s="6" t="s">
        <v>134</v>
      </c>
      <c r="H37" s="28">
        <v>-1965</v>
      </c>
      <c r="J37" s="28"/>
      <c r="L37" s="13"/>
    </row>
    <row r="38" spans="8:12" ht="14.25">
      <c r="H38" s="31"/>
      <c r="J38" s="31"/>
      <c r="L38" s="13"/>
    </row>
    <row r="39" spans="3:12" ht="15">
      <c r="C39" s="1" t="s">
        <v>63</v>
      </c>
      <c r="H39" s="24">
        <f>SUM(H31:H38)</f>
        <v>-2831</v>
      </c>
      <c r="J39" s="24">
        <f>SUM(J31:J38)</f>
        <v>21372</v>
      </c>
      <c r="L39" s="13"/>
    </row>
    <row r="40" spans="8:12" ht="14.25">
      <c r="H40" s="42"/>
      <c r="J40" s="42"/>
      <c r="L40" s="13"/>
    </row>
    <row r="41" spans="3:12" ht="14.25">
      <c r="C41" s="78" t="s">
        <v>64</v>
      </c>
      <c r="D41" s="79"/>
      <c r="E41" s="79"/>
      <c r="F41" s="79"/>
      <c r="J41" s="24"/>
      <c r="L41" s="13"/>
    </row>
    <row r="42" spans="3:12" ht="15.75" customHeight="1">
      <c r="C42" s="79"/>
      <c r="D42" s="79"/>
      <c r="E42" s="79"/>
      <c r="F42" s="79"/>
      <c r="H42" s="24">
        <f>+H17+H27+H39</f>
        <v>-3697</v>
      </c>
      <c r="J42" s="24">
        <f>+J17+J27+J39</f>
        <v>27218</v>
      </c>
      <c r="L42" s="13"/>
    </row>
    <row r="43" spans="8:12" ht="14.25">
      <c r="H43" s="24"/>
      <c r="J43" s="24"/>
      <c r="L43" s="13"/>
    </row>
    <row r="44" spans="3:12" ht="28.5" customHeight="1">
      <c r="C44" s="80" t="s">
        <v>65</v>
      </c>
      <c r="D44" s="71"/>
      <c r="E44" s="71"/>
      <c r="F44" s="71"/>
      <c r="H44" s="40">
        <v>-3652</v>
      </c>
      <c r="J44" s="40" t="s">
        <v>75</v>
      </c>
      <c r="L44" s="13"/>
    </row>
    <row r="45" spans="8:12" ht="14.25">
      <c r="H45" s="24"/>
      <c r="J45" s="24"/>
      <c r="L45" s="13"/>
    </row>
    <row r="46" spans="3:12" ht="30.75" customHeight="1" thickBot="1">
      <c r="C46" s="78" t="s">
        <v>66</v>
      </c>
      <c r="D46" s="79"/>
      <c r="E46" s="79"/>
      <c r="F46" s="79"/>
      <c r="H46" s="43">
        <f>SUM(H42:H45)</f>
        <v>-7349</v>
      </c>
      <c r="J46" s="43">
        <f>+J42</f>
        <v>27218</v>
      </c>
      <c r="L46" s="13"/>
    </row>
    <row r="47" spans="8:12" ht="15" thickTop="1">
      <c r="H47" s="24"/>
      <c r="L47" s="13"/>
    </row>
    <row r="48" spans="8:12" ht="14.25">
      <c r="H48" s="24"/>
      <c r="L48" s="13"/>
    </row>
    <row r="49" spans="3:12" ht="14.25">
      <c r="C49" s="6" t="s">
        <v>69</v>
      </c>
      <c r="L49" s="13"/>
    </row>
    <row r="50" spans="8:12" ht="14.25">
      <c r="H50" s="17" t="s">
        <v>17</v>
      </c>
      <c r="J50" s="17" t="s">
        <v>17</v>
      </c>
      <c r="L50" s="13"/>
    </row>
    <row r="51" spans="3:12" ht="14.25">
      <c r="C51" s="6" t="s">
        <v>76</v>
      </c>
      <c r="H51" s="24">
        <f>+'BS'!H19</f>
        <v>4732</v>
      </c>
      <c r="J51" s="40">
        <v>16718</v>
      </c>
      <c r="L51" s="13"/>
    </row>
    <row r="52" spans="3:12" ht="14.25">
      <c r="C52" s="6" t="s">
        <v>81</v>
      </c>
      <c r="H52" s="24">
        <f>+'BS'!H18-H53</f>
        <v>8864</v>
      </c>
      <c r="J52" s="40">
        <v>10983</v>
      </c>
      <c r="L52" s="13"/>
    </row>
    <row r="53" spans="3:12" ht="14.25">
      <c r="C53" s="6" t="s">
        <v>70</v>
      </c>
      <c r="H53" s="42">
        <f>1521+769+225+127+259</f>
        <v>2901</v>
      </c>
      <c r="J53" s="65">
        <v>5438</v>
      </c>
      <c r="L53" s="13"/>
    </row>
    <row r="54" spans="8:12" ht="14.25">
      <c r="H54" s="13">
        <f>SUM(H51:H53)</f>
        <v>16497</v>
      </c>
      <c r="J54" s="13">
        <f>SUM(J51:J53)</f>
        <v>33139</v>
      </c>
      <c r="L54" s="13"/>
    </row>
    <row r="55" spans="3:12" ht="14.25">
      <c r="C55" s="6" t="s">
        <v>71</v>
      </c>
      <c r="H55" s="24">
        <f>-'BS'!H30</f>
        <v>-4105</v>
      </c>
      <c r="J55" s="40">
        <v>-2140</v>
      </c>
      <c r="L55" s="13"/>
    </row>
    <row r="56" spans="3:12" ht="14.25">
      <c r="C56" s="6" t="s">
        <v>80</v>
      </c>
      <c r="H56" s="42">
        <f>-'BS'!H27</f>
        <v>-19741</v>
      </c>
      <c r="J56" s="65">
        <v>-3781</v>
      </c>
      <c r="L56" s="13"/>
    </row>
    <row r="57" spans="3:12" ht="14.25">
      <c r="C57" s="71" t="s">
        <v>72</v>
      </c>
      <c r="D57" s="71"/>
      <c r="E57" s="71"/>
      <c r="F57" s="71"/>
      <c r="H57" s="44">
        <f>SUM(H54:H56)</f>
        <v>-7349</v>
      </c>
      <c r="J57" s="45">
        <f>+J54+J55+J56</f>
        <v>27218</v>
      </c>
      <c r="L57" s="13"/>
    </row>
    <row r="58" ht="14.25">
      <c r="L58" s="13"/>
    </row>
    <row r="60" spans="3:8" ht="14.25">
      <c r="C60" s="6" t="s">
        <v>77</v>
      </c>
      <c r="H60" s="13"/>
    </row>
    <row r="61" spans="3:15" ht="41.25" customHeight="1">
      <c r="C61" s="69" t="s">
        <v>137</v>
      </c>
      <c r="D61" s="69"/>
      <c r="E61" s="69"/>
      <c r="F61" s="69"/>
      <c r="G61" s="69"/>
      <c r="H61" s="69"/>
      <c r="I61" s="69"/>
      <c r="J61" s="69"/>
      <c r="K61" s="69"/>
      <c r="L61" s="69"/>
      <c r="M61" s="46"/>
      <c r="N61" s="47"/>
      <c r="O61" s="46"/>
    </row>
    <row r="63" spans="3:11" ht="14.25">
      <c r="C63" s="53"/>
      <c r="D63" s="53"/>
      <c r="E63" s="53"/>
      <c r="F63" s="53"/>
      <c r="G63" s="53"/>
      <c r="H63" s="54"/>
      <c r="I63" s="53"/>
      <c r="J63" s="53"/>
      <c r="K63" s="53"/>
    </row>
    <row r="64" spans="3:16" ht="14.25">
      <c r="C64" s="72" t="s">
        <v>121</v>
      </c>
      <c r="D64" s="72"/>
      <c r="E64" s="72"/>
      <c r="F64" s="72"/>
      <c r="G64" s="72"/>
      <c r="H64" s="72"/>
      <c r="I64" s="72"/>
      <c r="J64" s="72"/>
      <c r="K64" s="72"/>
      <c r="L64" s="12"/>
      <c r="M64" s="12"/>
      <c r="N64" s="48"/>
      <c r="O64" s="49"/>
      <c r="P64" s="49"/>
    </row>
    <row r="67" spans="8:10" ht="14.25">
      <c r="H67" s="13">
        <f>+H46-H57</f>
        <v>0</v>
      </c>
      <c r="J67" s="13">
        <f>+J46-J57</f>
        <v>0</v>
      </c>
    </row>
  </sheetData>
  <mergeCells count="7">
    <mergeCell ref="C14:G14"/>
    <mergeCell ref="C64:K64"/>
    <mergeCell ref="C41:F42"/>
    <mergeCell ref="C44:F44"/>
    <mergeCell ref="C46:F46"/>
    <mergeCell ref="C57:F57"/>
    <mergeCell ref="C61:L61"/>
  </mergeCells>
  <printOptions horizontalCentered="1" verticalCentered="1"/>
  <pageMargins left="0.5" right="0" top="0" bottom="0" header="0.5" footer="0.5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kld</dc:creator>
  <cp:keywords/>
  <dc:description/>
  <cp:lastModifiedBy>KLD</cp:lastModifiedBy>
  <cp:lastPrinted>2005-08-23T09:05:13Z</cp:lastPrinted>
  <dcterms:created xsi:type="dcterms:W3CDTF">2004-04-19T04:18:49Z</dcterms:created>
  <dcterms:modified xsi:type="dcterms:W3CDTF">2005-08-26T07:51:45Z</dcterms:modified>
  <cp:category/>
  <cp:version/>
  <cp:contentType/>
  <cp:contentStatus/>
</cp:coreProperties>
</file>