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75" yWindow="65491" windowWidth="6465" windowHeight="6390" firstSheet="4" activeTab="4"/>
  </bookViews>
  <sheets>
    <sheet name="NAV000" sheetId="1" state="hidden" r:id="rId1"/>
    <sheet name="NAV001" sheetId="2" state="hidden" r:id="rId2"/>
    <sheet name="NAV002" sheetId="3" state="hidden" r:id="rId3"/>
    <sheet name="NAV003" sheetId="4" state="hidden" r:id="rId4"/>
    <sheet name="BS&amp;PL" sheetId="5" r:id="rId5"/>
    <sheet name="งบรวม" sheetId="6" r:id="rId6"/>
    <sheet name="งบเดี่ยว" sheetId="7" r:id="rId7"/>
    <sheet name="000" sheetId="8" state="veryHidden" r:id="rId8"/>
  </sheets>
  <definedNames/>
  <calcPr fullCalcOnLoad="1"/>
</workbook>
</file>

<file path=xl/sharedStrings.xml><?xml version="1.0" encoding="utf-8"?>
<sst xmlns="http://schemas.openxmlformats.org/spreadsheetml/2006/main" count="625" uniqueCount="220">
  <si>
    <t>NATURAL PARK PUBLIC COMPANY LIMITED AND ITS SUBSIDIARY COMPANIES</t>
  </si>
  <si>
    <t>BALANCE SHEETS</t>
  </si>
  <si>
    <t>CONSOLIDATED</t>
  </si>
  <si>
    <t>THE COMPANY ONLY</t>
  </si>
  <si>
    <t>Note</t>
  </si>
  <si>
    <t xml:space="preserve">       ASSETS</t>
  </si>
  <si>
    <t>-</t>
  </si>
  <si>
    <t>TOTAL ASSETS</t>
  </si>
  <si>
    <t>The accompanying notes are an integral part of the financial statements.</t>
  </si>
  <si>
    <t>BALANCE SHEETS (Continued)</t>
  </si>
  <si>
    <t xml:space="preserve">        LIABILITIES AND SHAREHOLDERS' EQUITY</t>
  </si>
  <si>
    <t xml:space="preserve">     Other current liabilities</t>
  </si>
  <si>
    <t xml:space="preserve">     Share capital</t>
  </si>
  <si>
    <t>TOTAL LIABILITIES AND SHAREHOLDERS' EQUITY</t>
  </si>
  <si>
    <t>DIRECTORS</t>
  </si>
  <si>
    <t>STATEMENTS OF EARNINGS</t>
  </si>
  <si>
    <t>STATEMENTS OF CASH FLOWS</t>
  </si>
  <si>
    <t>Cash flows from (used in) operating activities :</t>
  </si>
  <si>
    <t xml:space="preserve">        provided by (paid from) operating activities :-</t>
  </si>
  <si>
    <t xml:space="preserve">     (Increase) decrease in operating assets :-</t>
  </si>
  <si>
    <t xml:space="preserve">        Other current assets</t>
  </si>
  <si>
    <t xml:space="preserve">     Increase (decrease) in operating liabilities :-</t>
  </si>
  <si>
    <t xml:space="preserve">        Other current liabilities</t>
  </si>
  <si>
    <t>STATEMENTS OF CASH FLOWS (Continued)</t>
  </si>
  <si>
    <t>Supplemental cash flows information :-</t>
  </si>
  <si>
    <t xml:space="preserve">        Interest expenses</t>
  </si>
  <si>
    <t xml:space="preserve">        Corporate income tax</t>
  </si>
  <si>
    <t xml:space="preserve">     Non-cash transaction :-</t>
  </si>
  <si>
    <t xml:space="preserve">     Cash and cash equivalents</t>
  </si>
  <si>
    <t>Current assets</t>
  </si>
  <si>
    <t>Total current assets</t>
  </si>
  <si>
    <t>Non-current assets</t>
  </si>
  <si>
    <t xml:space="preserve">     Property, plant and equipment - net</t>
  </si>
  <si>
    <t xml:space="preserve">     Other non-current assets</t>
  </si>
  <si>
    <t>Total non-current assets</t>
  </si>
  <si>
    <t>Total current liabilities</t>
  </si>
  <si>
    <t>Total non-current liabilities</t>
  </si>
  <si>
    <t>Total revenue</t>
  </si>
  <si>
    <t xml:space="preserve">Expenses </t>
  </si>
  <si>
    <t>Revenues</t>
  </si>
  <si>
    <t xml:space="preserve">Total expenses </t>
  </si>
  <si>
    <t>Cash flows from (used in) investing activities :-</t>
  </si>
  <si>
    <t>Cash flows from (used in) financing activities :-</t>
  </si>
  <si>
    <t xml:space="preserve">     Current investments</t>
  </si>
  <si>
    <t xml:space="preserve">     Investments accounted for under equity method</t>
  </si>
  <si>
    <t xml:space="preserve">        Issued and paid up</t>
  </si>
  <si>
    <t xml:space="preserve">Minority interest - Equity attributable to minority  </t>
  </si>
  <si>
    <t xml:space="preserve">   shareholders of subsidiaries</t>
  </si>
  <si>
    <t xml:space="preserve">     Other income</t>
  </si>
  <si>
    <t xml:space="preserve">        Inventories</t>
  </si>
  <si>
    <t xml:space="preserve">     Inventories </t>
  </si>
  <si>
    <t xml:space="preserve">        Withholding income tax</t>
  </si>
  <si>
    <t xml:space="preserve">     Bank overdrafts and short-term loans from financial institutions</t>
  </si>
  <si>
    <t xml:space="preserve">     Trade accounts receivable - net</t>
  </si>
  <si>
    <t>Total liabilities</t>
  </si>
  <si>
    <t>Shareholders' equity</t>
  </si>
  <si>
    <t>Current liabilities</t>
  </si>
  <si>
    <t xml:space="preserve">        Subsidiary companies</t>
  </si>
  <si>
    <t>Interest expenses</t>
  </si>
  <si>
    <t xml:space="preserve">     Advances to subcontractors - net</t>
  </si>
  <si>
    <t xml:space="preserve">        Authorised share capital</t>
  </si>
  <si>
    <t xml:space="preserve">     Interest income</t>
  </si>
  <si>
    <t xml:space="preserve">     Cost and related expenses of rental and services</t>
  </si>
  <si>
    <t xml:space="preserve">     Rental and related services income</t>
  </si>
  <si>
    <t xml:space="preserve">     Interest income from related parties</t>
  </si>
  <si>
    <t xml:space="preserve">     Cash received from capital increase</t>
  </si>
  <si>
    <t xml:space="preserve">     Cash paid for liabilities under rehabilitation plan</t>
  </si>
  <si>
    <t xml:space="preserve">        Discount on ordinary shares </t>
  </si>
  <si>
    <t xml:space="preserve">     Other long-term investments - available-for-sale securities, net</t>
  </si>
  <si>
    <t xml:space="preserve">     Deposits and advances received from customers</t>
  </si>
  <si>
    <t>Non-current liabilities</t>
  </si>
  <si>
    <t xml:space="preserve">     Bad debts and doubtful accounts</t>
  </si>
  <si>
    <t xml:space="preserve">     Adjustments to reconcile net earnings to net cash</t>
  </si>
  <si>
    <t xml:space="preserve">        Bad debts and doubtful accounts</t>
  </si>
  <si>
    <t xml:space="preserve">        Issue ordinary shares for offering at discount </t>
  </si>
  <si>
    <t xml:space="preserve">        Promissory note - net</t>
  </si>
  <si>
    <t>STATEMENTS OF CHANGES IN SHAREHOLDERS' EQUITY</t>
  </si>
  <si>
    <t>Issued and paid-up</t>
  </si>
  <si>
    <t>Unappropriated</t>
  </si>
  <si>
    <t>share capital</t>
  </si>
  <si>
    <t>on ordinary shares</t>
  </si>
  <si>
    <t>securities</t>
  </si>
  <si>
    <t>Deficit</t>
  </si>
  <si>
    <t>Total</t>
  </si>
  <si>
    <t>Items not yet recognised in earnings statements</t>
  </si>
  <si>
    <t>Unrealised gain on available-for-sale securities</t>
  </si>
  <si>
    <t>The accompanying notes are an intergral part of the financial statements.</t>
  </si>
  <si>
    <t>Minority</t>
  </si>
  <si>
    <t>interest</t>
  </si>
  <si>
    <t xml:space="preserve">        Bill of exchange - net</t>
  </si>
  <si>
    <t xml:space="preserve">     Amount due from related parties</t>
  </si>
  <si>
    <t xml:space="preserve">     Short-term loans to related parties and interest receivable</t>
  </si>
  <si>
    <t xml:space="preserve">        Associated companies</t>
  </si>
  <si>
    <t xml:space="preserve">     Long-term loans to related party and interest receivable</t>
  </si>
  <si>
    <t xml:space="preserve">     Amount due to related parties</t>
  </si>
  <si>
    <t xml:space="preserve">     Current portion of long-term loans</t>
  </si>
  <si>
    <t xml:space="preserve">     Current portion of debentures</t>
  </si>
  <si>
    <t xml:space="preserve">     Deposits and advance rentals</t>
  </si>
  <si>
    <t xml:space="preserve">     Debentures - net of current portion</t>
  </si>
  <si>
    <t xml:space="preserve">     Long-term loans - net of current portion</t>
  </si>
  <si>
    <t xml:space="preserve">     Unrealised gain (loss) on available-for-sale securities</t>
  </si>
  <si>
    <t xml:space="preserve">     Discount on ordinary shares</t>
  </si>
  <si>
    <t xml:space="preserve">     Revenue from hotel business</t>
  </si>
  <si>
    <t xml:space="preserve">     Share of loss from investments under equity method</t>
  </si>
  <si>
    <t xml:space="preserve">     Share of profits from investments under equity method</t>
  </si>
  <si>
    <t>on available-for-sale</t>
  </si>
  <si>
    <t>Unrealised gain (loss)</t>
  </si>
  <si>
    <t xml:space="preserve">     Deposit for share purchase</t>
  </si>
  <si>
    <t xml:space="preserve">     Restricted deposit at financial institution</t>
  </si>
  <si>
    <t xml:space="preserve">     Leasehold right of land and building - net</t>
  </si>
  <si>
    <t xml:space="preserve">     Excess of cost over net book value</t>
  </si>
  <si>
    <t xml:space="preserve">     Short-term loans from related parties and accrued interest</t>
  </si>
  <si>
    <t xml:space="preserve">     Deficit</t>
  </si>
  <si>
    <t xml:space="preserve">     Cash received from long-term loans</t>
  </si>
  <si>
    <t>Minority interest</t>
  </si>
  <si>
    <t xml:space="preserve">        Depreciation and amortisation</t>
  </si>
  <si>
    <t xml:space="preserve">        Amount due from related parties</t>
  </si>
  <si>
    <t xml:space="preserve">        Amount due to related parties</t>
  </si>
  <si>
    <t xml:space="preserve">        Deposits and advances received from customers</t>
  </si>
  <si>
    <t xml:space="preserve">        Increase in investments in subsidiary companies</t>
  </si>
  <si>
    <t xml:space="preserve">        Increase in investments in associated companies</t>
  </si>
  <si>
    <t xml:space="preserve">       Increase in leasehold right of land and builiding</t>
  </si>
  <si>
    <t xml:space="preserve">        Trade accounts receivable</t>
  </si>
  <si>
    <t xml:space="preserve">     Payment of payables under finance lease agreements</t>
  </si>
  <si>
    <t xml:space="preserve">     Cost of hotel business</t>
  </si>
  <si>
    <t xml:space="preserve">        Decrease in share capital from debt conversion reversal</t>
  </si>
  <si>
    <t xml:space="preserve">        Deposits and other guarantee</t>
  </si>
  <si>
    <t xml:space="preserve">     Other current assets - net</t>
  </si>
  <si>
    <t xml:space="preserve">     Director's remuneration</t>
  </si>
  <si>
    <t xml:space="preserve">Corporate income tax </t>
  </si>
  <si>
    <t xml:space="preserve">        Share of loss from investments accounted for under equity method</t>
  </si>
  <si>
    <t xml:space="preserve">        Share of profits from investments accounted for under equity method</t>
  </si>
  <si>
    <t xml:space="preserve">           Net cash from (used in) operating activities</t>
  </si>
  <si>
    <t xml:space="preserve">           Net cash used in investing activities</t>
  </si>
  <si>
    <t xml:space="preserve">        Cash received from disposal of fixed assets </t>
  </si>
  <si>
    <t xml:space="preserve">        Net cash from financing activities</t>
  </si>
  <si>
    <t>Weighted average number of ordinary shares, with a par value</t>
  </si>
  <si>
    <t>(Unaudited</t>
  </si>
  <si>
    <t>(Audited)</t>
  </si>
  <si>
    <t>but reviewed)</t>
  </si>
  <si>
    <t>31 December 2003</t>
  </si>
  <si>
    <t xml:space="preserve">              (2003: 8,057,160,000 ordinary shares of Baht 100 each)</t>
  </si>
  <si>
    <t>Total shareholders' equity</t>
  </si>
  <si>
    <t>Total equity attributable to Company's shareholders</t>
  </si>
  <si>
    <t xml:space="preserve">     of Baht 25 each (Million shares)</t>
  </si>
  <si>
    <t xml:space="preserve">     Increase in overdraft and short-term loan from financial institutions</t>
  </si>
  <si>
    <t>(Unit: Thousand Baht)</t>
  </si>
  <si>
    <t xml:space="preserve">           8,057,160,000 ordinary shares of Baht 25 each</t>
  </si>
  <si>
    <t>Balance as at 31 December 2002</t>
  </si>
  <si>
    <t>Balance as at 31 December 2003</t>
  </si>
  <si>
    <t>Discount</t>
  </si>
  <si>
    <t>Net earnings for the period</t>
  </si>
  <si>
    <t>Cash and cash equivalent - beginning of period</t>
  </si>
  <si>
    <t xml:space="preserve">     Cash paid during the period for :-</t>
  </si>
  <si>
    <t>(Restated)</t>
  </si>
  <si>
    <t xml:space="preserve">        Land awaiting development</t>
  </si>
  <si>
    <t xml:space="preserve">     Revenue from club operations</t>
  </si>
  <si>
    <t xml:space="preserve">     Management fee income</t>
  </si>
  <si>
    <t xml:space="preserve">     Cost of club operations</t>
  </si>
  <si>
    <t xml:space="preserve">        Transfer premium on ordinary shares to offset with deficit</t>
  </si>
  <si>
    <t xml:space="preserve">        Decrease in ordinary shares resulting from devaluation of par</t>
  </si>
  <si>
    <t>Balance as at 31 December 2003 - as previously reported</t>
  </si>
  <si>
    <t>Cumulative effect of prior year adjustment in relation</t>
  </si>
  <si>
    <t xml:space="preserve">   to debt restructuring (Note 2)</t>
  </si>
  <si>
    <t>Balance as at 31 December 2003 - as restated</t>
  </si>
  <si>
    <t xml:space="preserve">        Increase in other long-term investments</t>
  </si>
  <si>
    <t>Earnings (loss) before interest and income tax expenses</t>
  </si>
  <si>
    <t>Earnings (loss) after interest and income tax expenses</t>
  </si>
  <si>
    <t>Net earnings (loss) for the period</t>
  </si>
  <si>
    <t>Unrealised loss on available-for-sale securities</t>
  </si>
  <si>
    <t>Net loss for the period</t>
  </si>
  <si>
    <t>Earnings attributable to minority interest</t>
  </si>
  <si>
    <t xml:space="preserve">Basic earnings (loss) per share     </t>
  </si>
  <si>
    <t xml:space="preserve">     Net earnings (loss)</t>
  </si>
  <si>
    <t xml:space="preserve">        Earnings attributable to minority interest</t>
  </si>
  <si>
    <t xml:space="preserve">        Dividend received from associated</t>
  </si>
  <si>
    <t>Decrease in ordinary shares resulting from</t>
  </si>
  <si>
    <t xml:space="preserve">   devaluation of par (Note 11)</t>
  </si>
  <si>
    <t>Cash and cash equivalent - end of period (Note 12)</t>
  </si>
  <si>
    <t xml:space="preserve">        Associated company</t>
  </si>
  <si>
    <t xml:space="preserve">        Subsidiary company</t>
  </si>
  <si>
    <t>Issue ordinary shares for offering at discount</t>
  </si>
  <si>
    <t xml:space="preserve">        Gain from disposal of fixed assets</t>
  </si>
  <si>
    <t xml:space="preserve">        Increase in short-term loans to related parties and interest receivable</t>
  </si>
  <si>
    <t>30 June 2004</t>
  </si>
  <si>
    <t>FOR THE THREE MONTH PERIODS ENDED 30 JUNE 2004 AND 2003</t>
  </si>
  <si>
    <t>FOR THE SIX MONTH PERIODS ENDED 30 JUNE 2004 AND 2003</t>
  </si>
  <si>
    <t>Balance as at 30 June 2003</t>
  </si>
  <si>
    <t>Balance as at 30 June 2004</t>
  </si>
  <si>
    <t xml:space="preserve">        Unrealised loss on available-for-sale securities</t>
  </si>
  <si>
    <t xml:space="preserve">        Increase in project costs</t>
  </si>
  <si>
    <t xml:space="preserve">        Increase in advance payment for purchase of land</t>
  </si>
  <si>
    <t xml:space="preserve">     Increase in short-term loan from director</t>
  </si>
  <si>
    <t xml:space="preserve">     Cash received from issuance of bonds</t>
  </si>
  <si>
    <t xml:space="preserve">     Currency translation differences</t>
  </si>
  <si>
    <t>Currency</t>
  </si>
  <si>
    <t>transalation</t>
  </si>
  <si>
    <t>differences</t>
  </si>
  <si>
    <t>Currency translation differences</t>
  </si>
  <si>
    <t xml:space="preserve">  Currency translation differences</t>
  </si>
  <si>
    <t xml:space="preserve">     Negative goodwill</t>
  </si>
  <si>
    <t xml:space="preserve">        Fixed deposit</t>
  </si>
  <si>
    <t xml:space="preserve">     Construction in progress</t>
  </si>
  <si>
    <t xml:space="preserve">     Accounts payable - trade</t>
  </si>
  <si>
    <t xml:space="preserve">     Accounts payable - construction</t>
  </si>
  <si>
    <t xml:space="preserve">     Revenue from restaurant business</t>
  </si>
  <si>
    <t xml:space="preserve">     Cost of restaurant business</t>
  </si>
  <si>
    <t xml:space="preserve">     Administrative expenses</t>
  </si>
  <si>
    <t>Loss attributable to minority interest</t>
  </si>
  <si>
    <t xml:space="preserve">        Unrealised exchange gain</t>
  </si>
  <si>
    <t xml:space="preserve">        Accounts payable - trade </t>
  </si>
  <si>
    <t xml:space="preserve">        Accounts payable - construction</t>
  </si>
  <si>
    <t xml:space="preserve">        Acquisition of land and fixed assets </t>
  </si>
  <si>
    <t xml:space="preserve">       Increase in other assets</t>
  </si>
  <si>
    <t xml:space="preserve">        Acquisition of investments in subsidiaries companies (Note 5)</t>
  </si>
  <si>
    <t xml:space="preserve">        Refund deposit for share purchase</t>
  </si>
  <si>
    <t xml:space="preserve">         from related parties and accrued interest</t>
  </si>
  <si>
    <t xml:space="preserve">     Increase (decrease) short-term loans from</t>
  </si>
  <si>
    <t>Net increase (decrease) in cash and cash equivalent</t>
  </si>
  <si>
    <t xml:space="preserve">        Increase restricted deposit at financial institution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</si>
</sst>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_);\(&quot;฿&quot;#,##0\)"/>
    <numFmt numFmtId="165" formatCode="&quot;฿&quot;#,##0_);[Red]\(&quot;฿&quot;#,##0\)"/>
    <numFmt numFmtId="166" formatCode="&quot;฿&quot;#,##0.00_);\(&quot;฿&quot;#,##0.00\)"/>
    <numFmt numFmtId="167" formatCode="&quot;฿&quot;#,##0.00_);[Red]\(&quot;฿&quot;#,##0.00\)"/>
    <numFmt numFmtId="168" formatCode="_(&quot;฿&quot;* #,##0_);_(&quot;฿&quot;* \(#,##0\);_(&quot;฿&quot;* &quot;-&quot;_);_(@_)"/>
    <numFmt numFmtId="169" formatCode="_(&quot;฿&quot;* #,##0.00_);_(&quot;฿&quot;* \(#,##0.00\);_(&quot;฿&quot;* &quot;-&quot;??_);_(@_)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\t&quot;$&quot;#,##0_);\(\t&quot;$&quot;#,##0\)"/>
    <numFmt numFmtId="175" formatCode="\t&quot;$&quot;#,##0_);[Red]\(\t&quot;$&quot;#,##0\)"/>
    <numFmt numFmtId="176" formatCode="\t&quot;$&quot;#,##0.00_);\(\t&quot;$&quot;#,##0.00\)"/>
    <numFmt numFmtId="177" formatCode="\t&quot;$&quot;#,##0.00_);[Red]\(\t&quot;$&quot;#,##0.00\)"/>
    <numFmt numFmtId="178" formatCode="&quot;฿&quot;#,##0;\-&quot;฿&quot;#,##0"/>
    <numFmt numFmtId="179" formatCode="&quot;฿&quot;#,##0;[Red]\-&quot;฿&quot;#,##0"/>
    <numFmt numFmtId="180" formatCode="&quot;฿&quot;#,##0.00;\-&quot;฿&quot;#,##0.00"/>
    <numFmt numFmtId="181" formatCode="&quot;฿&quot;#,##0.00;[Red]\-&quot;฿&quot;#,##0.00"/>
    <numFmt numFmtId="182" formatCode="_-&quot;฿&quot;* #,##0_-;\-&quot;฿&quot;* #,##0_-;_-&quot;฿&quot;* &quot;-&quot;_-;_-@_-"/>
    <numFmt numFmtId="183" formatCode="_-* #,##0_-;\-* #,##0_-;_-* &quot;-&quot;_-;_-@_-"/>
    <numFmt numFmtId="184" formatCode="_-&quot;฿&quot;* #,##0.00_-;\-&quot;฿&quot;* #,##0.00_-;_-&quot;฿&quot;* &quot;-&quot;??_-;_-@_-"/>
    <numFmt numFmtId="185" formatCode="_-* #,##0.00_-;\-* #,##0.00_-;_-* &quot;-&quot;??_-;_-@_-"/>
    <numFmt numFmtId="186" formatCode="&quot;ผ&quot;#,##0.00_);[Red]\(&quot;ผ&quot;#,##0.00\)"/>
    <numFmt numFmtId="187" formatCode="0.0%"/>
    <numFmt numFmtId="188" formatCode="dd\-mmm\-yy_)"/>
    <numFmt numFmtId="189" formatCode="0.00_)"/>
    <numFmt numFmtId="190" formatCode="#,##0.00\ &quot;F&quot;;\-#,##0.00\ &quot;F&quot;"/>
    <numFmt numFmtId="191" formatCode="#,##0;\(#,##0\)"/>
    <numFmt numFmtId="192" formatCode="#,##0.00;\(#,##0.00\)"/>
    <numFmt numFmtId="193" formatCode="#,##0_);[Blue]\(#,##0\)"/>
    <numFmt numFmtId="194" formatCode="#,##0.0_);[Blue]\(#,##0.0\)"/>
    <numFmt numFmtId="195" formatCode="#,##0.00_);[Blue]\(#,##0.00\)"/>
    <numFmt numFmtId="196" formatCode="#,##0.0_);[Red]\(#,##0.0\)"/>
    <numFmt numFmtId="197" formatCode="_(* #,##0.0_);_(* \(#,##0.0\);_(* &quot;-&quot;_);_(@_)"/>
    <numFmt numFmtId="198" formatCode="_(* #,##0.00_);_(* \(#,##0.00\);_(* &quot;-&quot;_);_(@_)"/>
  </numFmts>
  <fonts count="17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6"/>
      <color indexed="8"/>
      <name val="RatanaKosin"/>
      <family val="0"/>
    </font>
    <font>
      <sz val="14"/>
      <name val="AngsanaUPC"/>
      <family val="0"/>
    </font>
    <font>
      <sz val="10"/>
      <name val="Arial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 New"/>
      <family val="1"/>
    </font>
    <font>
      <b/>
      <sz val="14"/>
      <name val="Angsana New"/>
      <family val="1"/>
    </font>
    <font>
      <sz val="13.5"/>
      <name val="Angsana New"/>
      <family val="1"/>
    </font>
    <font>
      <u val="single"/>
      <sz val="13.5"/>
      <name val="Angsana New"/>
      <family val="1"/>
    </font>
    <font>
      <b/>
      <sz val="13.5"/>
      <name val="Angsana New"/>
      <family val="1"/>
    </font>
    <font>
      <i/>
      <sz val="13.5"/>
      <name val="Angsana New"/>
      <family val="1"/>
    </font>
    <font>
      <sz val="12.5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190" fontId="5" fillId="0" borderId="0">
      <alignment/>
      <protection/>
    </xf>
    <xf numFmtId="186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88" fontId="5" fillId="0" borderId="0">
      <alignment/>
      <protection/>
    </xf>
    <xf numFmtId="187" fontId="5" fillId="0" borderId="0">
      <alignment/>
      <protection/>
    </xf>
    <xf numFmtId="38" fontId="7" fillId="2" borderId="0" applyNumberFormat="0" applyBorder="0" applyAlignment="0" applyProtection="0"/>
    <xf numFmtId="10" fontId="7" fillId="3" borderId="1" applyNumberFormat="0" applyBorder="0" applyAlignment="0" applyProtection="0"/>
    <xf numFmtId="37" fontId="8" fillId="0" borderId="0">
      <alignment/>
      <protection/>
    </xf>
    <xf numFmtId="18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" fontId="6" fillId="0" borderId="2" applyNumberFormat="0" applyFill="0" applyAlignment="0" applyProtection="0"/>
  </cellStyleXfs>
  <cellXfs count="82">
    <xf numFmtId="0" fontId="0" fillId="0" borderId="0" xfId="0" applyAlignment="1">
      <alignment/>
    </xf>
    <xf numFmtId="38" fontId="10" fillId="0" borderId="0" xfId="0" applyNumberFormat="1" applyFont="1" applyFill="1" applyAlignment="1">
      <alignment vertical="center"/>
    </xf>
    <xf numFmtId="41" fontId="10" fillId="0" borderId="0" xfId="26" applyNumberFormat="1" applyFont="1" applyAlignment="1">
      <alignment horizontal="center" vertical="center"/>
      <protection/>
    </xf>
    <xf numFmtId="41" fontId="10" fillId="0" borderId="0" xfId="26" applyNumberFormat="1" applyFont="1" applyAlignment="1">
      <alignment vertical="center"/>
      <protection/>
    </xf>
    <xf numFmtId="0" fontId="10" fillId="0" borderId="0" xfId="26" applyFont="1" applyAlignment="1">
      <alignment vertical="center"/>
      <protection/>
    </xf>
    <xf numFmtId="0" fontId="10" fillId="0" borderId="0" xfId="26" applyFont="1" applyAlignment="1">
      <alignment horizontal="center" vertical="center"/>
      <protection/>
    </xf>
    <xf numFmtId="41" fontId="10" fillId="0" borderId="0" xfId="26" applyNumberFormat="1" applyFont="1" applyBorder="1" applyAlignment="1">
      <alignment vertical="center"/>
      <protection/>
    </xf>
    <xf numFmtId="41" fontId="10" fillId="0" borderId="0" xfId="26" applyNumberFormat="1" applyFont="1" applyAlignment="1">
      <alignment horizontal="right" vertical="center"/>
      <protection/>
    </xf>
    <xf numFmtId="41" fontId="10" fillId="0" borderId="3" xfId="26" applyNumberFormat="1" applyFont="1" applyBorder="1" applyAlignment="1">
      <alignment horizontal="center" vertical="center"/>
      <protection/>
    </xf>
    <xf numFmtId="41" fontId="10" fillId="0" borderId="0" xfId="26" applyNumberFormat="1" applyFont="1" applyBorder="1" applyAlignment="1">
      <alignment horizontal="center" vertical="center"/>
      <protection/>
    </xf>
    <xf numFmtId="0" fontId="11" fillId="0" borderId="0" xfId="26" applyFont="1" applyAlignment="1">
      <alignment vertical="center"/>
      <protection/>
    </xf>
    <xf numFmtId="41" fontId="10" fillId="0" borderId="0" xfId="26" applyNumberFormat="1" applyFont="1" applyBorder="1" applyAlignment="1">
      <alignment horizontal="right" vertical="center"/>
      <protection/>
    </xf>
    <xf numFmtId="41" fontId="10" fillId="0" borderId="4" xfId="26" applyNumberFormat="1" applyFont="1" applyBorder="1" applyAlignment="1">
      <alignment horizontal="center" vertical="center"/>
      <protection/>
    </xf>
    <xf numFmtId="41" fontId="10" fillId="0" borderId="4" xfId="26" applyNumberFormat="1" applyFont="1" applyBorder="1" applyAlignment="1">
      <alignment horizontal="right" vertical="center"/>
      <protection/>
    </xf>
    <xf numFmtId="41" fontId="10" fillId="0" borderId="3" xfId="26" applyNumberFormat="1" applyFont="1" applyBorder="1" applyAlignment="1">
      <alignment horizontal="right" vertical="center"/>
      <protection/>
    </xf>
    <xf numFmtId="41" fontId="10" fillId="0" borderId="5" xfId="26" applyNumberFormat="1" applyFont="1" applyBorder="1" applyAlignment="1">
      <alignment horizontal="right" vertical="center"/>
      <protection/>
    </xf>
    <xf numFmtId="41" fontId="11" fillId="0" borderId="0" xfId="26" applyNumberFormat="1" applyFont="1" applyAlignment="1">
      <alignment vertical="center"/>
      <protection/>
    </xf>
    <xf numFmtId="41" fontId="10" fillId="0" borderId="0" xfId="27" applyNumberFormat="1" applyFont="1" applyBorder="1" applyAlignment="1">
      <alignment horizontal="right" vertical="center"/>
      <protection/>
    </xf>
    <xf numFmtId="41" fontId="10" fillId="0" borderId="3" xfId="26" applyNumberFormat="1" applyFont="1" applyBorder="1" applyAlignment="1">
      <alignment vertical="center"/>
      <protection/>
    </xf>
    <xf numFmtId="41" fontId="10" fillId="0" borderId="5" xfId="26" applyNumberFormat="1" applyFont="1" applyBorder="1" applyAlignment="1">
      <alignment vertical="center"/>
      <protection/>
    </xf>
    <xf numFmtId="41" fontId="10" fillId="0" borderId="5" xfId="26" applyNumberFormat="1" applyFont="1" applyBorder="1" applyAlignment="1">
      <alignment horizontal="center" vertical="center"/>
      <protection/>
    </xf>
    <xf numFmtId="38" fontId="12" fillId="0" borderId="0" xfId="0" applyNumberFormat="1" applyFont="1" applyFill="1" applyAlignment="1" quotePrefix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38" fontId="12" fillId="0" borderId="0" xfId="0" applyNumberFormat="1" applyFont="1" applyFill="1" applyAlignment="1">
      <alignment horizontal="centerContinuous" vertical="center"/>
    </xf>
    <xf numFmtId="41" fontId="12" fillId="0" borderId="0" xfId="0" applyNumberFormat="1" applyFont="1" applyFill="1" applyAlignment="1">
      <alignment horizontal="centerContinuous" vertical="center"/>
    </xf>
    <xf numFmtId="38" fontId="12" fillId="0" borderId="0" xfId="0" applyNumberFormat="1" applyFont="1" applyFill="1" applyAlignment="1">
      <alignment horizontal="right" vertical="center"/>
    </xf>
    <xf numFmtId="38" fontId="13" fillId="0" borderId="0" xfId="0" applyNumberFormat="1" applyFont="1" applyFill="1" applyAlignment="1">
      <alignment vertical="center"/>
    </xf>
    <xf numFmtId="38" fontId="12" fillId="0" borderId="0" xfId="0" applyNumberFormat="1" applyFont="1" applyFill="1" applyAlignment="1">
      <alignment vertical="center"/>
    </xf>
    <xf numFmtId="41" fontId="12" fillId="0" borderId="0" xfId="0" applyNumberFormat="1" applyFont="1" applyFill="1" applyAlignment="1" quotePrefix="1">
      <alignment horizontal="centerContinuous" vertical="center"/>
    </xf>
    <xf numFmtId="38" fontId="12" fillId="0" borderId="0" xfId="0" applyNumberFormat="1" applyFont="1" applyFill="1" applyAlignment="1">
      <alignment horizontal="center" vertical="center"/>
    </xf>
    <xf numFmtId="41" fontId="12" fillId="0" borderId="0" xfId="0" applyNumberFormat="1" applyFont="1" applyFill="1" applyAlignment="1">
      <alignment vertical="center"/>
    </xf>
    <xf numFmtId="41" fontId="12" fillId="0" borderId="0" xfId="0" applyNumberFormat="1" applyFont="1" applyFill="1" applyAlignment="1" quotePrefix="1">
      <alignment horizontal="center" vertical="center"/>
    </xf>
    <xf numFmtId="41" fontId="12" fillId="0" borderId="0" xfId="0" applyNumberFormat="1" applyFont="1" applyFill="1" applyAlignment="1">
      <alignment horizontal="right" vertical="center"/>
    </xf>
    <xf numFmtId="41" fontId="14" fillId="0" borderId="3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191" fontId="12" fillId="0" borderId="3" xfId="0" applyNumberFormat="1" applyFont="1" applyBorder="1" applyAlignment="1" quotePrefix="1">
      <alignment horizontal="center" vertical="center"/>
    </xf>
    <xf numFmtId="191" fontId="12" fillId="0" borderId="0" xfId="0" applyNumberFormat="1" applyFont="1" applyBorder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horizontal="right" vertical="center"/>
    </xf>
    <xf numFmtId="191" fontId="12" fillId="0" borderId="0" xfId="0" applyNumberFormat="1" applyFont="1" applyAlignment="1">
      <alignment horizontal="center" vertical="center"/>
    </xf>
    <xf numFmtId="191" fontId="12" fillId="0" borderId="0" xfId="0" applyNumberFormat="1" applyFont="1" applyBorder="1" applyAlignment="1">
      <alignment horizontal="center" vertical="center"/>
    </xf>
    <xf numFmtId="37" fontId="13" fillId="0" borderId="0" xfId="0" applyNumberFormat="1" applyFont="1" applyAlignment="1">
      <alignment horizontal="center" vertical="center"/>
    </xf>
    <xf numFmtId="41" fontId="12" fillId="0" borderId="0" xfId="0" applyNumberFormat="1" applyFont="1" applyFill="1" applyAlignment="1">
      <alignment horizontal="center" vertical="center"/>
    </xf>
    <xf numFmtId="38" fontId="15" fillId="0" borderId="0" xfId="0" applyNumberFormat="1" applyFont="1" applyFill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38" fontId="12" fillId="0" borderId="0" xfId="0" applyNumberFormat="1" applyFont="1" applyFill="1" applyAlignment="1">
      <alignment horizontal="lef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6" xfId="0" applyNumberFormat="1" applyFont="1" applyFill="1" applyBorder="1" applyAlignment="1">
      <alignment horizontal="right" vertical="center"/>
    </xf>
    <xf numFmtId="41" fontId="12" fillId="0" borderId="3" xfId="0" applyNumberFormat="1" applyFont="1" applyFill="1" applyBorder="1" applyAlignment="1">
      <alignment horizontal="right" vertical="center"/>
    </xf>
    <xf numFmtId="41" fontId="12" fillId="0" borderId="5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horizontal="right" vertical="center"/>
    </xf>
    <xf numFmtId="41" fontId="12" fillId="0" borderId="3" xfId="0" applyNumberFormat="1" applyFont="1" applyFill="1" applyBorder="1" applyAlignment="1">
      <alignment horizontal="center" vertical="center"/>
    </xf>
    <xf numFmtId="41" fontId="12" fillId="0" borderId="7" xfId="0" applyNumberFormat="1" applyFont="1" applyFill="1" applyBorder="1" applyAlignment="1">
      <alignment horizontal="right" vertical="center"/>
    </xf>
    <xf numFmtId="38" fontId="12" fillId="0" borderId="8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41" fontId="12" fillId="0" borderId="3" xfId="0" applyNumberFormat="1" applyFont="1" applyFill="1" applyBorder="1" applyAlignment="1">
      <alignment vertical="center"/>
    </xf>
    <xf numFmtId="19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39" fontId="12" fillId="0" borderId="0" xfId="0" applyNumberFormat="1" applyFont="1" applyFill="1" applyAlignment="1">
      <alignment horizontal="left" vertical="center"/>
    </xf>
    <xf numFmtId="39" fontId="15" fillId="0" borderId="0" xfId="0" applyNumberFormat="1" applyFont="1" applyFill="1" applyAlignment="1">
      <alignment horizontal="center" vertical="center"/>
    </xf>
    <xf numFmtId="39" fontId="12" fillId="0" borderId="0" xfId="0" applyNumberFormat="1" applyFont="1" applyFill="1" applyAlignment="1">
      <alignment vertical="center"/>
    </xf>
    <xf numFmtId="198" fontId="12" fillId="0" borderId="7" xfId="0" applyNumberFormat="1" applyFont="1" applyFill="1" applyBorder="1" applyAlignment="1">
      <alignment horizontal="right" vertical="center"/>
    </xf>
    <xf numFmtId="198" fontId="12" fillId="0" borderId="0" xfId="0" applyNumberFormat="1" applyFont="1" applyFill="1" applyAlignment="1">
      <alignment vertical="center"/>
    </xf>
    <xf numFmtId="198" fontId="12" fillId="0" borderId="7" xfId="0" applyNumberFormat="1" applyFont="1" applyFill="1" applyBorder="1" applyAlignment="1">
      <alignment horizontal="center" vertical="center"/>
    </xf>
    <xf numFmtId="39" fontId="12" fillId="0" borderId="0" xfId="0" applyNumberFormat="1" applyFont="1" applyFill="1" applyAlignment="1">
      <alignment horizontal="right" vertical="center"/>
    </xf>
    <xf numFmtId="38" fontId="12" fillId="0" borderId="0" xfId="0" applyNumberFormat="1" applyFont="1" applyFill="1" applyAlignment="1" quotePrefix="1">
      <alignment horizontal="left" vertical="center"/>
    </xf>
    <xf numFmtId="38" fontId="14" fillId="0" borderId="0" xfId="0" applyNumberFormat="1" applyFont="1" applyFill="1" applyAlignment="1">
      <alignment vertical="center"/>
    </xf>
    <xf numFmtId="41" fontId="12" fillId="0" borderId="6" xfId="0" applyNumberFormat="1" applyFont="1" applyFill="1" applyBorder="1" applyAlignment="1">
      <alignment vertical="center"/>
    </xf>
    <xf numFmtId="191" fontId="12" fillId="0" borderId="0" xfId="0" applyNumberFormat="1" applyFont="1" applyFill="1" applyAlignment="1">
      <alignment vertical="center"/>
    </xf>
    <xf numFmtId="41" fontId="12" fillId="0" borderId="5" xfId="0" applyNumberFormat="1" applyFont="1" applyFill="1" applyBorder="1" applyAlignment="1">
      <alignment vertical="center"/>
    </xf>
    <xf numFmtId="41" fontId="16" fillId="0" borderId="3" xfId="0" applyNumberFormat="1" applyFont="1" applyFill="1" applyBorder="1" applyAlignment="1">
      <alignment horizontal="center" vertical="center"/>
    </xf>
    <xf numFmtId="191" fontId="12" fillId="0" borderId="0" xfId="0" applyNumberFormat="1" applyFont="1" applyFill="1" applyAlignment="1">
      <alignment horizontal="center" vertical="center"/>
    </xf>
    <xf numFmtId="38" fontId="12" fillId="0" borderId="0" xfId="0" applyNumberFormat="1" applyFont="1" applyFill="1" applyAlignment="1" quotePrefix="1">
      <alignment horizontal="center" vertical="center"/>
    </xf>
    <xf numFmtId="38" fontId="12" fillId="0" borderId="0" xfId="0" applyNumberFormat="1" applyFont="1" applyFill="1" applyAlignment="1">
      <alignment horizontal="center" vertical="center"/>
    </xf>
    <xf numFmtId="0" fontId="10" fillId="0" borderId="0" xfId="26" applyFont="1" applyAlignment="1">
      <alignment horizontal="center" vertical="center"/>
      <protection/>
    </xf>
    <xf numFmtId="41" fontId="10" fillId="0" borderId="3" xfId="26" applyNumberFormat="1" applyFont="1" applyBorder="1" applyAlignment="1">
      <alignment horizontal="center" vertical="center"/>
      <protection/>
    </xf>
    <xf numFmtId="41" fontId="10" fillId="0" borderId="0" xfId="26" applyNumberFormat="1" applyFont="1" applyBorder="1" applyAlignment="1">
      <alignment horizontal="center" vertical="center"/>
      <protection/>
    </xf>
    <xf numFmtId="41" fontId="10" fillId="0" borderId="0" xfId="26" applyNumberFormat="1" applyFont="1" applyAlignment="1">
      <alignment horizontal="center" vertical="center"/>
      <protection/>
    </xf>
  </cellXfs>
  <cellStyles count="17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ollar (zero dec)" xfId="21"/>
    <cellStyle name="Grey" xfId="22"/>
    <cellStyle name="Input [yellow]" xfId="23"/>
    <cellStyle name="no dec" xfId="24"/>
    <cellStyle name="Normal - Style1" xfId="25"/>
    <cellStyle name="Normal_CE-E - N013" xfId="26"/>
    <cellStyle name="Normal_CE-Thai - N013" xfId="27"/>
    <cellStyle name="Percent" xfId="28"/>
    <cellStyle name="Percent [2]" xfId="29"/>
    <cellStyle name="Quantity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19050" y="0"/>
          <a:ext cx="786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
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28575" y="0"/>
          <a:ext cx="785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 ”ภฆ—ตฆก“ ’ห “ก ‘ศ ฅซ—’ห 30 ฐ—ฌ“ฌ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REGIONAL CONTAINER LINE (H.K.)  LIMITED
PROJECTED STATEMENTS OF EARNINGS AND RETAINED EARNINGS
 FOR THE YEARS ENDING 31st DECEMBER
(THOUSAND BAHT)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xt 15"/>
        <xdr:cNvSpPr txBox="1">
          <a:spLocks noChangeArrowheads="1"/>
        </xdr:cNvSpPr>
      </xdr:nvSpPr>
      <xdr:spPr>
        <a:xfrm>
          <a:off x="19050" y="0"/>
          <a:ext cx="786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 (ตหี)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14"/>
  <sheetViews>
    <sheetView showGridLines="0" tabSelected="1" workbookViewId="0" topLeftCell="A1">
      <selection activeCell="A1" sqref="A1"/>
    </sheetView>
  </sheetViews>
  <sheetFormatPr defaultColWidth="9.00390625" defaultRowHeight="18" customHeight="1"/>
  <cols>
    <col min="1" max="1" width="44.75390625" style="27" customWidth="1"/>
    <col min="2" max="2" width="4.75390625" style="27" customWidth="1"/>
    <col min="3" max="3" width="0.875" style="27" customWidth="1"/>
    <col min="4" max="4" width="11.75390625" style="30" customWidth="1"/>
    <col min="5" max="5" width="1.75390625" style="30" customWidth="1"/>
    <col min="6" max="6" width="11.75390625" style="30" customWidth="1"/>
    <col min="7" max="7" width="1.75390625" style="30" customWidth="1"/>
    <col min="8" max="8" width="11.75390625" style="30" customWidth="1"/>
    <col min="9" max="9" width="1.75390625" style="30" customWidth="1"/>
    <col min="10" max="10" width="11.75390625" style="30" customWidth="1"/>
    <col min="11" max="11" width="0.875" style="25" customWidth="1"/>
    <col min="12" max="12" width="3.00390625" style="27" customWidth="1"/>
    <col min="13" max="13" width="16.125" style="27" customWidth="1"/>
    <col min="14" max="16384" width="10.75390625" style="27" customWidth="1"/>
  </cols>
  <sheetData>
    <row r="1" spans="1:12" ht="18" customHeight="1">
      <c r="A1" s="21" t="s">
        <v>0</v>
      </c>
      <c r="B1" s="22"/>
      <c r="C1" s="23"/>
      <c r="D1" s="24"/>
      <c r="E1" s="24"/>
      <c r="F1" s="24"/>
      <c r="G1" s="24"/>
      <c r="H1" s="24"/>
      <c r="I1" s="24"/>
      <c r="J1" s="24"/>
      <c r="L1" s="26"/>
    </row>
    <row r="2" spans="1:10" ht="18" customHeight="1">
      <c r="A2" s="23" t="s">
        <v>1</v>
      </c>
      <c r="B2" s="22"/>
      <c r="C2" s="23"/>
      <c r="D2" s="24"/>
      <c r="E2" s="24"/>
      <c r="F2" s="24"/>
      <c r="G2" s="24"/>
      <c r="H2" s="28"/>
      <c r="I2" s="24"/>
      <c r="J2" s="28"/>
    </row>
    <row r="3" spans="2:10" ht="18" customHeight="1">
      <c r="B3" s="29"/>
      <c r="H3" s="31"/>
      <c r="J3" s="32" t="s">
        <v>146</v>
      </c>
    </row>
    <row r="4" spans="4:10" ht="18" customHeight="1">
      <c r="D4" s="33"/>
      <c r="E4" s="33" t="s">
        <v>2</v>
      </c>
      <c r="F4" s="33"/>
      <c r="G4" s="34"/>
      <c r="H4" s="33"/>
      <c r="I4" s="33" t="s">
        <v>3</v>
      </c>
      <c r="J4" s="33"/>
    </row>
    <row r="5" spans="2:11" s="35" customFormat="1" ht="18" customHeight="1">
      <c r="B5" s="36" t="s">
        <v>4</v>
      </c>
      <c r="D5" s="37" t="s">
        <v>184</v>
      </c>
      <c r="E5" s="38"/>
      <c r="F5" s="37" t="s">
        <v>140</v>
      </c>
      <c r="G5" s="39"/>
      <c r="H5" s="37" t="s">
        <v>184</v>
      </c>
      <c r="I5" s="38"/>
      <c r="J5" s="37" t="s">
        <v>140</v>
      </c>
      <c r="K5" s="40"/>
    </row>
    <row r="6" spans="2:11" s="35" customFormat="1" ht="18" customHeight="1">
      <c r="B6" s="36"/>
      <c r="D6" s="41" t="s">
        <v>137</v>
      </c>
      <c r="E6" s="42"/>
      <c r="F6" s="41" t="s">
        <v>138</v>
      </c>
      <c r="G6" s="43"/>
      <c r="H6" s="41" t="s">
        <v>137</v>
      </c>
      <c r="I6" s="42"/>
      <c r="J6" s="41" t="s">
        <v>138</v>
      </c>
      <c r="K6" s="40"/>
    </row>
    <row r="7" spans="2:11" s="35" customFormat="1" ht="18" customHeight="1">
      <c r="B7" s="36"/>
      <c r="D7" s="41" t="s">
        <v>139</v>
      </c>
      <c r="E7" s="42"/>
      <c r="F7" s="41" t="s">
        <v>154</v>
      </c>
      <c r="G7" s="43"/>
      <c r="H7" s="41" t="s">
        <v>139</v>
      </c>
      <c r="I7" s="42"/>
      <c r="J7" s="41"/>
      <c r="K7" s="40"/>
    </row>
    <row r="8" spans="1:6" ht="18" customHeight="1">
      <c r="A8" s="27" t="s">
        <v>5</v>
      </c>
      <c r="F8" s="44"/>
    </row>
    <row r="9" spans="1:2" ht="18" customHeight="1">
      <c r="A9" s="27" t="s">
        <v>29</v>
      </c>
      <c r="B9" s="45"/>
    </row>
    <row r="10" spans="1:10" ht="18" customHeight="1">
      <c r="A10" s="27" t="s">
        <v>28</v>
      </c>
      <c r="B10" s="45"/>
      <c r="D10" s="30">
        <v>262067</v>
      </c>
      <c r="F10" s="30">
        <v>1906391</v>
      </c>
      <c r="H10" s="30">
        <v>129747</v>
      </c>
      <c r="J10" s="30">
        <v>1812926</v>
      </c>
    </row>
    <row r="11" spans="1:10" ht="18" customHeight="1">
      <c r="A11" s="27" t="s">
        <v>43</v>
      </c>
      <c r="B11" s="45"/>
      <c r="D11" s="46"/>
      <c r="F11" s="46"/>
      <c r="H11" s="46"/>
      <c r="I11" s="32"/>
      <c r="J11" s="46"/>
    </row>
    <row r="12" spans="1:10" ht="18" customHeight="1">
      <c r="A12" s="47" t="s">
        <v>201</v>
      </c>
      <c r="B12" s="45"/>
      <c r="D12" s="46">
        <v>871</v>
      </c>
      <c r="F12" s="46" t="s">
        <v>6</v>
      </c>
      <c r="H12" s="46" t="s">
        <v>6</v>
      </c>
      <c r="I12" s="32"/>
      <c r="J12" s="46" t="s">
        <v>6</v>
      </c>
    </row>
    <row r="13" spans="1:10" ht="18" customHeight="1">
      <c r="A13" s="47" t="s">
        <v>75</v>
      </c>
      <c r="B13" s="45"/>
      <c r="D13" s="46" t="s">
        <v>6</v>
      </c>
      <c r="E13" s="46"/>
      <c r="F13" s="46">
        <v>180000</v>
      </c>
      <c r="G13" s="46"/>
      <c r="H13" s="46" t="s">
        <v>6</v>
      </c>
      <c r="I13" s="46"/>
      <c r="J13" s="46">
        <v>180000</v>
      </c>
    </row>
    <row r="14" spans="1:10" ht="18" customHeight="1">
      <c r="A14" s="47" t="s">
        <v>89</v>
      </c>
      <c r="B14" s="45"/>
      <c r="D14" s="46" t="s">
        <v>6</v>
      </c>
      <c r="E14" s="46"/>
      <c r="F14" s="46">
        <v>19773</v>
      </c>
      <c r="G14" s="46"/>
      <c r="H14" s="46" t="s">
        <v>6</v>
      </c>
      <c r="I14" s="46"/>
      <c r="J14" s="46">
        <v>19773</v>
      </c>
    </row>
    <row r="15" spans="1:10" ht="18" customHeight="1">
      <c r="A15" s="47" t="s">
        <v>53</v>
      </c>
      <c r="B15" s="45">
        <v>3</v>
      </c>
      <c r="D15" s="46">
        <v>48851</v>
      </c>
      <c r="E15" s="46"/>
      <c r="F15" s="46">
        <v>80321</v>
      </c>
      <c r="G15" s="46"/>
      <c r="H15" s="48">
        <v>5963</v>
      </c>
      <c r="I15" s="46"/>
      <c r="J15" s="48">
        <f>5197</f>
        <v>5197</v>
      </c>
    </row>
    <row r="16" spans="1:10" ht="18" customHeight="1">
      <c r="A16" s="47" t="s">
        <v>90</v>
      </c>
      <c r="B16" s="45">
        <v>4</v>
      </c>
      <c r="D16" s="48">
        <v>18869</v>
      </c>
      <c r="E16" s="46"/>
      <c r="F16" s="48">
        <v>3472</v>
      </c>
      <c r="G16" s="46"/>
      <c r="H16" s="46">
        <v>3852</v>
      </c>
      <c r="I16" s="46"/>
      <c r="J16" s="46">
        <f>2763</f>
        <v>2763</v>
      </c>
    </row>
    <row r="17" spans="1:10" ht="18" customHeight="1">
      <c r="A17" s="47" t="s">
        <v>91</v>
      </c>
      <c r="B17" s="45">
        <v>4</v>
      </c>
      <c r="D17" s="46"/>
      <c r="E17" s="46"/>
      <c r="F17" s="46"/>
      <c r="G17" s="46"/>
      <c r="H17" s="46"/>
      <c r="I17" s="46"/>
      <c r="J17" s="46"/>
    </row>
    <row r="18" spans="1:10" ht="18" customHeight="1">
      <c r="A18" s="47" t="s">
        <v>57</v>
      </c>
      <c r="D18" s="46" t="s">
        <v>6</v>
      </c>
      <c r="E18" s="46"/>
      <c r="F18" s="46" t="s">
        <v>6</v>
      </c>
      <c r="G18" s="46"/>
      <c r="H18" s="32">
        <v>1888896</v>
      </c>
      <c r="I18" s="46"/>
      <c r="J18" s="32">
        <v>620280</v>
      </c>
    </row>
    <row r="19" spans="1:10" ht="18" customHeight="1">
      <c r="A19" s="47" t="s">
        <v>92</v>
      </c>
      <c r="B19" s="45"/>
      <c r="D19" s="32">
        <v>80641</v>
      </c>
      <c r="E19" s="46"/>
      <c r="F19" s="32">
        <v>76922</v>
      </c>
      <c r="G19" s="46"/>
      <c r="H19" s="32">
        <v>80641</v>
      </c>
      <c r="I19" s="46"/>
      <c r="J19" s="32">
        <v>76922</v>
      </c>
    </row>
    <row r="20" spans="1:10" ht="18" customHeight="1">
      <c r="A20" s="47" t="s">
        <v>50</v>
      </c>
      <c r="B20" s="45"/>
      <c r="D20" s="44">
        <v>24316</v>
      </c>
      <c r="F20" s="44">
        <v>17676</v>
      </c>
      <c r="H20" s="44" t="s">
        <v>6</v>
      </c>
      <c r="I20" s="32"/>
      <c r="J20" s="44" t="s">
        <v>6</v>
      </c>
    </row>
    <row r="21" spans="1:10" ht="18" customHeight="1">
      <c r="A21" s="47" t="s">
        <v>107</v>
      </c>
      <c r="B21" s="45"/>
      <c r="D21" s="44" t="s">
        <v>6</v>
      </c>
      <c r="F21" s="44">
        <v>550000</v>
      </c>
      <c r="H21" s="44" t="s">
        <v>6</v>
      </c>
      <c r="I21" s="32"/>
      <c r="J21" s="44">
        <v>550000</v>
      </c>
    </row>
    <row r="22" spans="1:10" ht="18" customHeight="1">
      <c r="A22" s="47" t="s">
        <v>59</v>
      </c>
      <c r="B22" s="45"/>
      <c r="D22" s="49">
        <v>2244</v>
      </c>
      <c r="E22" s="49"/>
      <c r="F22" s="49">
        <v>2244</v>
      </c>
      <c r="G22" s="49"/>
      <c r="H22" s="49">
        <v>2244</v>
      </c>
      <c r="I22" s="48"/>
      <c r="J22" s="49">
        <v>2244</v>
      </c>
    </row>
    <row r="23" spans="1:10" ht="18" customHeight="1">
      <c r="A23" s="27" t="s">
        <v>127</v>
      </c>
      <c r="B23" s="45"/>
      <c r="D23" s="48">
        <v>115828</v>
      </c>
      <c r="E23" s="49"/>
      <c r="F23" s="48">
        <v>134331</v>
      </c>
      <c r="G23" s="49"/>
      <c r="H23" s="48">
        <v>21485</v>
      </c>
      <c r="I23" s="48"/>
      <c r="J23" s="48">
        <v>23135</v>
      </c>
    </row>
    <row r="24" spans="1:10" ht="18" customHeight="1">
      <c r="A24" s="27" t="s">
        <v>30</v>
      </c>
      <c r="B24" s="45"/>
      <c r="D24" s="50">
        <f>SUM(D10:D23)</f>
        <v>553687</v>
      </c>
      <c r="E24" s="48"/>
      <c r="F24" s="50">
        <f>SUM(F10:F23)</f>
        <v>2971130</v>
      </c>
      <c r="G24" s="48"/>
      <c r="H24" s="50">
        <f>SUM(H10:H23)</f>
        <v>2132828</v>
      </c>
      <c r="I24" s="48"/>
      <c r="J24" s="50">
        <f>SUM(J10:J23)</f>
        <v>3293240</v>
      </c>
    </row>
    <row r="25" spans="1:10" ht="18" customHeight="1">
      <c r="A25" s="27" t="s">
        <v>31</v>
      </c>
      <c r="B25" s="45"/>
      <c r="D25" s="48"/>
      <c r="E25" s="32"/>
      <c r="F25" s="48"/>
      <c r="G25" s="32"/>
      <c r="H25" s="48"/>
      <c r="I25" s="32"/>
      <c r="J25" s="48"/>
    </row>
    <row r="26" spans="1:10" ht="18" customHeight="1">
      <c r="A26" s="47" t="s">
        <v>108</v>
      </c>
      <c r="B26" s="45"/>
      <c r="D26" s="48">
        <v>79859</v>
      </c>
      <c r="E26" s="32"/>
      <c r="F26" s="48">
        <v>68826</v>
      </c>
      <c r="G26" s="32"/>
      <c r="H26" s="48">
        <v>73219</v>
      </c>
      <c r="I26" s="32"/>
      <c r="J26" s="48">
        <f>65001</f>
        <v>65001</v>
      </c>
    </row>
    <row r="27" spans="1:10" ht="18" customHeight="1">
      <c r="A27" s="47" t="s">
        <v>44</v>
      </c>
      <c r="B27" s="45">
        <v>5</v>
      </c>
      <c r="D27" s="48"/>
      <c r="E27" s="48"/>
      <c r="F27" s="48"/>
      <c r="G27" s="49"/>
      <c r="H27" s="49"/>
      <c r="I27" s="48"/>
      <c r="J27" s="49"/>
    </row>
    <row r="28" spans="1:10" ht="18" customHeight="1">
      <c r="A28" s="47" t="s">
        <v>57</v>
      </c>
      <c r="B28" s="45"/>
      <c r="D28" s="44" t="s">
        <v>6</v>
      </c>
      <c r="E28" s="48"/>
      <c r="F28" s="44" t="s">
        <v>6</v>
      </c>
      <c r="G28" s="49"/>
      <c r="H28" s="49">
        <v>3664481</v>
      </c>
      <c r="I28" s="48"/>
      <c r="J28" s="49">
        <v>2549199</v>
      </c>
    </row>
    <row r="29" spans="1:10" ht="18" customHeight="1">
      <c r="A29" s="47" t="s">
        <v>92</v>
      </c>
      <c r="B29" s="45"/>
      <c r="D29" s="48">
        <v>4382888</v>
      </c>
      <c r="E29" s="48"/>
      <c r="F29" s="48">
        <v>3540412</v>
      </c>
      <c r="G29" s="49"/>
      <c r="H29" s="49">
        <f>5045130+19</f>
        <v>5045149</v>
      </c>
      <c r="I29" s="48"/>
      <c r="J29" s="49">
        <v>4353438</v>
      </c>
    </row>
    <row r="30" spans="1:10" ht="18" customHeight="1">
      <c r="A30" s="47" t="s">
        <v>68</v>
      </c>
      <c r="B30" s="45">
        <v>6</v>
      </c>
      <c r="D30" s="48">
        <v>913976</v>
      </c>
      <c r="E30" s="49"/>
      <c r="F30" s="48">
        <v>209331</v>
      </c>
      <c r="G30" s="49"/>
      <c r="H30" s="48">
        <v>912843</v>
      </c>
      <c r="I30" s="48"/>
      <c r="J30" s="48">
        <v>208123</v>
      </c>
    </row>
    <row r="31" spans="1:10" ht="18" customHeight="1">
      <c r="A31" s="47" t="s">
        <v>93</v>
      </c>
      <c r="B31" s="45">
        <v>4</v>
      </c>
      <c r="D31" s="48" t="s">
        <v>6</v>
      </c>
      <c r="E31" s="49"/>
      <c r="F31" s="48">
        <v>13177</v>
      </c>
      <c r="G31" s="49"/>
      <c r="H31" s="44" t="s">
        <v>6</v>
      </c>
      <c r="I31" s="48"/>
      <c r="J31" s="44" t="s">
        <v>6</v>
      </c>
    </row>
    <row r="32" spans="1:10" ht="18" customHeight="1">
      <c r="A32" s="27" t="s">
        <v>32</v>
      </c>
      <c r="B32" s="45">
        <v>7</v>
      </c>
      <c r="D32" s="32">
        <v>4493063</v>
      </c>
      <c r="F32" s="32">
        <v>3407774</v>
      </c>
      <c r="H32" s="32">
        <v>195112</v>
      </c>
      <c r="I32" s="32"/>
      <c r="J32" s="32">
        <v>196920</v>
      </c>
    </row>
    <row r="33" spans="1:10" ht="18" customHeight="1">
      <c r="A33" s="27" t="s">
        <v>202</v>
      </c>
      <c r="B33" s="45"/>
      <c r="D33" s="32">
        <v>772493</v>
      </c>
      <c r="F33" s="44">
        <v>76727</v>
      </c>
      <c r="H33" s="44" t="s">
        <v>6</v>
      </c>
      <c r="I33" s="32"/>
      <c r="J33" s="44" t="s">
        <v>6</v>
      </c>
    </row>
    <row r="34" spans="1:10" ht="18" customHeight="1">
      <c r="A34" s="27" t="s">
        <v>109</v>
      </c>
      <c r="B34" s="45">
        <v>7</v>
      </c>
      <c r="D34" s="32">
        <v>1527812</v>
      </c>
      <c r="F34" s="32">
        <v>1520571</v>
      </c>
      <c r="G34" s="49"/>
      <c r="H34" s="44" t="s">
        <v>6</v>
      </c>
      <c r="I34" s="48"/>
      <c r="J34" s="44" t="s">
        <v>6</v>
      </c>
    </row>
    <row r="35" spans="1:10" ht="18" customHeight="1">
      <c r="A35" s="27" t="s">
        <v>110</v>
      </c>
      <c r="B35" s="45"/>
      <c r="D35" s="32">
        <v>1834534</v>
      </c>
      <c r="F35" s="32">
        <v>1895957</v>
      </c>
      <c r="G35" s="49"/>
      <c r="H35" s="44" t="s">
        <v>6</v>
      </c>
      <c r="I35" s="48"/>
      <c r="J35" s="44" t="s">
        <v>6</v>
      </c>
    </row>
    <row r="36" spans="1:10" ht="18" customHeight="1">
      <c r="A36" s="27" t="s">
        <v>200</v>
      </c>
      <c r="B36" s="45">
        <v>8</v>
      </c>
      <c r="D36" s="46">
        <v>-137686</v>
      </c>
      <c r="F36" s="46" t="s">
        <v>6</v>
      </c>
      <c r="G36" s="49"/>
      <c r="H36" s="46" t="s">
        <v>6</v>
      </c>
      <c r="I36" s="48"/>
      <c r="J36" s="46" t="s">
        <v>6</v>
      </c>
    </row>
    <row r="37" spans="1:10" ht="18" customHeight="1">
      <c r="A37" s="27" t="s">
        <v>33</v>
      </c>
      <c r="B37" s="45"/>
      <c r="D37" s="44"/>
      <c r="F37" s="44"/>
      <c r="H37" s="44"/>
      <c r="I37" s="32"/>
      <c r="J37" s="44"/>
    </row>
    <row r="38" spans="1:10" ht="18" customHeight="1">
      <c r="A38" s="27" t="s">
        <v>155</v>
      </c>
      <c r="B38" s="45">
        <v>7</v>
      </c>
      <c r="D38" s="44">
        <v>1393794</v>
      </c>
      <c r="F38" s="44">
        <v>607401</v>
      </c>
      <c r="H38" s="46" t="s">
        <v>6</v>
      </c>
      <c r="I38" s="32"/>
      <c r="J38" s="46" t="s">
        <v>6</v>
      </c>
    </row>
    <row r="39" spans="1:10" ht="18" customHeight="1">
      <c r="A39" s="27" t="s">
        <v>51</v>
      </c>
      <c r="B39" s="45"/>
      <c r="D39" s="48">
        <v>43958</v>
      </c>
      <c r="E39" s="49"/>
      <c r="F39" s="48">
        <v>3500</v>
      </c>
      <c r="G39" s="49"/>
      <c r="H39" s="49">
        <v>3718</v>
      </c>
      <c r="I39" s="48"/>
      <c r="J39" s="49">
        <v>3091</v>
      </c>
    </row>
    <row r="40" spans="1:10" ht="18" customHeight="1">
      <c r="A40" s="27" t="s">
        <v>126</v>
      </c>
      <c r="D40" s="51">
        <v>33900</v>
      </c>
      <c r="E40" s="49"/>
      <c r="F40" s="51">
        <v>22617</v>
      </c>
      <c r="G40" s="49"/>
      <c r="H40" s="51">
        <v>2974</v>
      </c>
      <c r="I40" s="48"/>
      <c r="J40" s="51">
        <v>2862</v>
      </c>
    </row>
    <row r="41" spans="1:10" ht="18" customHeight="1">
      <c r="A41" s="27" t="s">
        <v>34</v>
      </c>
      <c r="D41" s="50">
        <f>SUM(D26:D40)</f>
        <v>15338591</v>
      </c>
      <c r="F41" s="50">
        <f>SUM(F26:F40)</f>
        <v>11366293</v>
      </c>
      <c r="H41" s="50">
        <f>SUM(H26:H40)</f>
        <v>9897496</v>
      </c>
      <c r="I41" s="32"/>
      <c r="J41" s="50">
        <f>SUM(J26:J40)</f>
        <v>7378634</v>
      </c>
    </row>
    <row r="42" spans="1:11" ht="18" customHeight="1" thickBot="1">
      <c r="A42" s="27" t="s">
        <v>7</v>
      </c>
      <c r="D42" s="52">
        <f>SUM(D24,D41)</f>
        <v>15892278</v>
      </c>
      <c r="F42" s="52">
        <f>SUM(F24,F41)</f>
        <v>14337423</v>
      </c>
      <c r="H42" s="52">
        <f>SUM(H24,H41)</f>
        <v>12030324</v>
      </c>
      <c r="I42" s="48"/>
      <c r="J42" s="52">
        <f>SUM(J24,J41)</f>
        <v>10671874</v>
      </c>
      <c r="K42" s="53"/>
    </row>
    <row r="43" ht="9" customHeight="1" thickTop="1"/>
    <row r="44" ht="18" customHeight="1">
      <c r="A44" s="27" t="s">
        <v>8</v>
      </c>
    </row>
    <row r="45" spans="1:12" ht="18" customHeight="1">
      <c r="A45" s="21" t="s">
        <v>0</v>
      </c>
      <c r="B45" s="22"/>
      <c r="C45" s="23"/>
      <c r="D45" s="24"/>
      <c r="E45" s="24"/>
      <c r="F45" s="24"/>
      <c r="G45" s="24"/>
      <c r="H45" s="24"/>
      <c r="I45" s="24"/>
      <c r="J45" s="24"/>
      <c r="L45" s="26"/>
    </row>
    <row r="46" spans="1:10" ht="18" customHeight="1">
      <c r="A46" s="23" t="s">
        <v>9</v>
      </c>
      <c r="B46" s="22"/>
      <c r="C46" s="23"/>
      <c r="D46" s="24"/>
      <c r="E46" s="24"/>
      <c r="F46" s="24"/>
      <c r="G46" s="24"/>
      <c r="H46" s="28"/>
      <c r="I46" s="24"/>
      <c r="J46" s="28"/>
    </row>
    <row r="47" spans="2:10" ht="18" customHeight="1">
      <c r="B47" s="29"/>
      <c r="H47" s="31"/>
      <c r="J47" s="32" t="s">
        <v>146</v>
      </c>
    </row>
    <row r="48" spans="4:10" ht="18" customHeight="1">
      <c r="D48" s="33"/>
      <c r="E48" s="33" t="s">
        <v>2</v>
      </c>
      <c r="F48" s="33"/>
      <c r="G48" s="34"/>
      <c r="H48" s="33"/>
      <c r="I48" s="33" t="s">
        <v>3</v>
      </c>
      <c r="J48" s="33"/>
    </row>
    <row r="49" spans="2:11" s="35" customFormat="1" ht="18" customHeight="1">
      <c r="B49" s="36" t="s">
        <v>4</v>
      </c>
      <c r="D49" s="37" t="s">
        <v>184</v>
      </c>
      <c r="E49" s="38"/>
      <c r="F49" s="37" t="s">
        <v>140</v>
      </c>
      <c r="G49" s="39"/>
      <c r="H49" s="37" t="s">
        <v>184</v>
      </c>
      <c r="I49" s="38"/>
      <c r="J49" s="37" t="s">
        <v>140</v>
      </c>
      <c r="K49" s="40"/>
    </row>
    <row r="50" spans="2:11" s="35" customFormat="1" ht="18" customHeight="1">
      <c r="B50" s="36"/>
      <c r="D50" s="41" t="s">
        <v>137</v>
      </c>
      <c r="E50" s="42"/>
      <c r="F50" s="41" t="s">
        <v>138</v>
      </c>
      <c r="G50" s="43"/>
      <c r="H50" s="41" t="s">
        <v>137</v>
      </c>
      <c r="I50" s="42"/>
      <c r="J50" s="41" t="s">
        <v>138</v>
      </c>
      <c r="K50" s="40"/>
    </row>
    <row r="51" spans="2:11" s="35" customFormat="1" ht="18" customHeight="1">
      <c r="B51" s="36"/>
      <c r="D51" s="41" t="s">
        <v>139</v>
      </c>
      <c r="E51" s="42"/>
      <c r="F51" s="41" t="s">
        <v>154</v>
      </c>
      <c r="G51" s="43"/>
      <c r="H51" s="41" t="s">
        <v>139</v>
      </c>
      <c r="I51" s="42"/>
      <c r="J51" s="41"/>
      <c r="K51" s="40"/>
    </row>
    <row r="52" spans="1:10" ht="18" customHeight="1">
      <c r="A52" s="27" t="s">
        <v>10</v>
      </c>
      <c r="D52" s="46"/>
      <c r="E52" s="46"/>
      <c r="F52" s="44"/>
      <c r="H52" s="46"/>
      <c r="I52" s="46"/>
      <c r="J52" s="46"/>
    </row>
    <row r="53" ht="18" customHeight="1">
      <c r="A53" s="27" t="s">
        <v>56</v>
      </c>
    </row>
    <row r="54" spans="1:10" ht="18" customHeight="1">
      <c r="A54" s="47" t="s">
        <v>52</v>
      </c>
      <c r="B54" s="45"/>
      <c r="D54" s="44">
        <v>2648009</v>
      </c>
      <c r="E54" s="32"/>
      <c r="F54" s="44">
        <v>915559</v>
      </c>
      <c r="H54" s="44">
        <v>1898000</v>
      </c>
      <c r="I54" s="32"/>
      <c r="J54" s="44">
        <v>98625</v>
      </c>
    </row>
    <row r="55" spans="1:10" ht="18" customHeight="1">
      <c r="A55" s="27" t="s">
        <v>203</v>
      </c>
      <c r="B55" s="45"/>
      <c r="D55" s="32">
        <v>63086</v>
      </c>
      <c r="E55" s="48"/>
      <c r="F55" s="32">
        <v>77421</v>
      </c>
      <c r="G55" s="49"/>
      <c r="H55" s="32">
        <v>12787</v>
      </c>
      <c r="I55" s="48"/>
      <c r="J55" s="32">
        <v>17110</v>
      </c>
    </row>
    <row r="56" spans="1:10" ht="18" customHeight="1">
      <c r="A56" s="27" t="s">
        <v>204</v>
      </c>
      <c r="B56" s="45"/>
      <c r="D56" s="32">
        <v>57557</v>
      </c>
      <c r="E56" s="48"/>
      <c r="F56" s="32">
        <v>15306</v>
      </c>
      <c r="G56" s="49"/>
      <c r="H56" s="46" t="s">
        <v>6</v>
      </c>
      <c r="I56" s="48"/>
      <c r="J56" s="46" t="s">
        <v>6</v>
      </c>
    </row>
    <row r="57" spans="1:10" ht="18" customHeight="1">
      <c r="A57" s="27" t="s">
        <v>94</v>
      </c>
      <c r="B57" s="45">
        <v>4</v>
      </c>
      <c r="D57" s="32">
        <v>22448</v>
      </c>
      <c r="E57" s="48"/>
      <c r="F57" s="32">
        <v>310982</v>
      </c>
      <c r="G57" s="49"/>
      <c r="H57" s="32">
        <v>1687</v>
      </c>
      <c r="I57" s="48"/>
      <c r="J57" s="32">
        <v>850</v>
      </c>
    </row>
    <row r="58" spans="1:10" ht="18" customHeight="1">
      <c r="A58" s="27" t="s">
        <v>95</v>
      </c>
      <c r="B58" s="45">
        <v>10</v>
      </c>
      <c r="D58" s="32">
        <v>467885</v>
      </c>
      <c r="E58" s="48"/>
      <c r="F58" s="32">
        <v>437711</v>
      </c>
      <c r="G58" s="49"/>
      <c r="H58" s="32">
        <v>257860</v>
      </c>
      <c r="I58" s="48"/>
      <c r="J58" s="32">
        <v>257860</v>
      </c>
    </row>
    <row r="59" spans="1:10" ht="18" customHeight="1">
      <c r="A59" s="47" t="s">
        <v>96</v>
      </c>
      <c r="B59" s="45">
        <v>9</v>
      </c>
      <c r="D59" s="32">
        <v>39600</v>
      </c>
      <c r="E59" s="48"/>
      <c r="F59" s="32">
        <v>26400</v>
      </c>
      <c r="G59" s="49"/>
      <c r="H59" s="44" t="s">
        <v>6</v>
      </c>
      <c r="I59" s="48"/>
      <c r="J59" s="44" t="s">
        <v>6</v>
      </c>
    </row>
    <row r="60" spans="1:10" ht="18" customHeight="1">
      <c r="A60" s="27" t="s">
        <v>111</v>
      </c>
      <c r="B60" s="45">
        <v>4</v>
      </c>
      <c r="D60" s="27"/>
      <c r="E60" s="27"/>
      <c r="F60" s="27"/>
      <c r="H60" s="27"/>
      <c r="I60" s="27"/>
      <c r="J60" s="27"/>
    </row>
    <row r="61" spans="1:10" ht="18" customHeight="1">
      <c r="A61" s="47" t="s">
        <v>180</v>
      </c>
      <c r="B61" s="45"/>
      <c r="D61" s="44" t="s">
        <v>6</v>
      </c>
      <c r="E61" s="48"/>
      <c r="F61" s="44" t="s">
        <v>6</v>
      </c>
      <c r="H61" s="32">
        <v>213959</v>
      </c>
      <c r="I61" s="32"/>
      <c r="J61" s="32">
        <v>327193</v>
      </c>
    </row>
    <row r="62" spans="1:10" ht="18" customHeight="1">
      <c r="A62" s="47" t="s">
        <v>179</v>
      </c>
      <c r="B62" s="45"/>
      <c r="D62" s="44">
        <v>214742</v>
      </c>
      <c r="E62" s="32"/>
      <c r="F62" s="44" t="s">
        <v>6</v>
      </c>
      <c r="H62" s="44" t="s">
        <v>6</v>
      </c>
      <c r="I62" s="48"/>
      <c r="J62" s="44" t="s">
        <v>6</v>
      </c>
    </row>
    <row r="63" spans="1:10" ht="18" customHeight="1">
      <c r="A63" s="27" t="s">
        <v>69</v>
      </c>
      <c r="B63" s="45"/>
      <c r="D63" s="48">
        <v>19881</v>
      </c>
      <c r="E63" s="48"/>
      <c r="F63" s="48">
        <v>26352</v>
      </c>
      <c r="G63" s="49"/>
      <c r="H63" s="48">
        <v>15779</v>
      </c>
      <c r="I63" s="48"/>
      <c r="J63" s="48">
        <v>23031</v>
      </c>
    </row>
    <row r="64" spans="1:10" ht="18" customHeight="1">
      <c r="A64" s="27" t="s">
        <v>11</v>
      </c>
      <c r="B64" s="45"/>
      <c r="D64" s="48">
        <v>225257</v>
      </c>
      <c r="E64" s="48"/>
      <c r="F64" s="48">
        <v>217339</v>
      </c>
      <c r="G64" s="48"/>
      <c r="H64" s="48">
        <v>17808</v>
      </c>
      <c r="I64" s="48"/>
      <c r="J64" s="48">
        <v>19673</v>
      </c>
    </row>
    <row r="65" spans="1:11" ht="18" customHeight="1">
      <c r="A65" s="27" t="s">
        <v>35</v>
      </c>
      <c r="B65" s="45"/>
      <c r="D65" s="50">
        <f>SUM(D54:D64)</f>
        <v>3758465</v>
      </c>
      <c r="E65" s="48"/>
      <c r="F65" s="50">
        <f>SUM(F54:F64)</f>
        <v>2027070</v>
      </c>
      <c r="G65" s="48"/>
      <c r="H65" s="50">
        <f>SUM(H54:H64)</f>
        <v>2417880</v>
      </c>
      <c r="I65" s="48"/>
      <c r="J65" s="50">
        <f>SUM(J54:J64)</f>
        <v>744342</v>
      </c>
      <c r="K65" s="53"/>
    </row>
    <row r="66" spans="1:11" ht="18" customHeight="1">
      <c r="A66" s="27" t="s">
        <v>70</v>
      </c>
      <c r="B66" s="45"/>
      <c r="D66" s="48"/>
      <c r="E66" s="48"/>
      <c r="F66" s="48"/>
      <c r="G66" s="48"/>
      <c r="H66" s="48"/>
      <c r="I66" s="48"/>
      <c r="J66" s="48"/>
      <c r="K66" s="53"/>
    </row>
    <row r="67" spans="1:11" ht="18" customHeight="1">
      <c r="A67" s="27" t="s">
        <v>97</v>
      </c>
      <c r="B67" s="45"/>
      <c r="D67" s="48">
        <v>87167</v>
      </c>
      <c r="E67" s="48"/>
      <c r="F67" s="48">
        <v>78794</v>
      </c>
      <c r="G67" s="49"/>
      <c r="H67" s="46" t="s">
        <v>6</v>
      </c>
      <c r="I67" s="48"/>
      <c r="J67" s="46" t="s">
        <v>6</v>
      </c>
      <c r="K67" s="53"/>
    </row>
    <row r="68" spans="1:11" ht="18" customHeight="1">
      <c r="A68" s="47" t="s">
        <v>98</v>
      </c>
      <c r="B68" s="45">
        <v>9</v>
      </c>
      <c r="D68" s="46">
        <v>387200</v>
      </c>
      <c r="E68" s="48"/>
      <c r="F68" s="46">
        <v>407000</v>
      </c>
      <c r="G68" s="49"/>
      <c r="H68" s="46" t="s">
        <v>6</v>
      </c>
      <c r="I68" s="48"/>
      <c r="J68" s="46" t="s">
        <v>6</v>
      </c>
      <c r="K68" s="53"/>
    </row>
    <row r="69" spans="1:11" ht="18" customHeight="1">
      <c r="A69" s="47" t="s">
        <v>99</v>
      </c>
      <c r="B69" s="45">
        <v>10</v>
      </c>
      <c r="D69" s="54">
        <v>3672668</v>
      </c>
      <c r="E69" s="48"/>
      <c r="F69" s="54">
        <v>3497750</v>
      </c>
      <c r="G69" s="49"/>
      <c r="H69" s="54">
        <v>2256140</v>
      </c>
      <c r="I69" s="48"/>
      <c r="J69" s="54">
        <v>2256140</v>
      </c>
      <c r="K69" s="53"/>
    </row>
    <row r="70" spans="1:11" ht="18" customHeight="1">
      <c r="A70" s="47" t="s">
        <v>36</v>
      </c>
      <c r="B70" s="45"/>
      <c r="D70" s="50">
        <f>SUM(D67:D69)</f>
        <v>4147035</v>
      </c>
      <c r="E70" s="48"/>
      <c r="F70" s="50">
        <f>SUM(F67:F69)</f>
        <v>3983544</v>
      </c>
      <c r="G70" s="49"/>
      <c r="H70" s="50">
        <f>SUM(H67:H69)</f>
        <v>2256140</v>
      </c>
      <c r="I70" s="48"/>
      <c r="J70" s="50">
        <f>SUM(J67:J69)</f>
        <v>2256140</v>
      </c>
      <c r="K70" s="53"/>
    </row>
    <row r="71" spans="1:11" ht="18" customHeight="1">
      <c r="A71" s="27" t="s">
        <v>54</v>
      </c>
      <c r="D71" s="50">
        <f>SUM(D65,D70)</f>
        <v>7905500</v>
      </c>
      <c r="E71" s="48"/>
      <c r="F71" s="50">
        <f>SUM(F65,F70)</f>
        <v>6010614</v>
      </c>
      <c r="G71" s="48"/>
      <c r="H71" s="50">
        <f>SUM(H65,H70)</f>
        <v>4674020</v>
      </c>
      <c r="I71" s="48"/>
      <c r="J71" s="50">
        <f>SUM(J65,J70)</f>
        <v>3000482</v>
      </c>
      <c r="K71" s="53"/>
    </row>
    <row r="72" spans="4:11" ht="18" customHeight="1">
      <c r="D72" s="48"/>
      <c r="E72" s="48"/>
      <c r="F72" s="48"/>
      <c r="G72" s="48"/>
      <c r="H72" s="48"/>
      <c r="I72" s="48"/>
      <c r="J72" s="48"/>
      <c r="K72" s="53"/>
    </row>
    <row r="73" spans="4:11" ht="18" customHeight="1">
      <c r="D73" s="48"/>
      <c r="E73" s="48"/>
      <c r="F73" s="48"/>
      <c r="G73" s="48"/>
      <c r="H73" s="48"/>
      <c r="I73" s="48"/>
      <c r="J73" s="48"/>
      <c r="K73" s="53"/>
    </row>
    <row r="74" ht="18" customHeight="1">
      <c r="A74" s="27" t="s">
        <v>8</v>
      </c>
    </row>
    <row r="75" spans="1:12" ht="18" customHeight="1">
      <c r="A75" s="21" t="s">
        <v>0</v>
      </c>
      <c r="B75" s="22"/>
      <c r="C75" s="23"/>
      <c r="D75" s="24"/>
      <c r="E75" s="24"/>
      <c r="F75" s="24"/>
      <c r="G75" s="24"/>
      <c r="H75" s="24"/>
      <c r="I75" s="24"/>
      <c r="J75" s="24"/>
      <c r="L75" s="26"/>
    </row>
    <row r="76" spans="1:10" ht="18" customHeight="1">
      <c r="A76" s="23" t="s">
        <v>9</v>
      </c>
      <c r="B76" s="22"/>
      <c r="C76" s="23"/>
      <c r="D76" s="24"/>
      <c r="E76" s="24"/>
      <c r="F76" s="24"/>
      <c r="G76" s="24"/>
      <c r="H76" s="28"/>
      <c r="I76" s="24"/>
      <c r="J76" s="28"/>
    </row>
    <row r="77" spans="2:10" ht="18" customHeight="1">
      <c r="B77" s="29"/>
      <c r="H77" s="31"/>
      <c r="J77" s="32" t="s">
        <v>146</v>
      </c>
    </row>
    <row r="78" spans="4:10" ht="18" customHeight="1">
      <c r="D78" s="33"/>
      <c r="E78" s="33" t="s">
        <v>2</v>
      </c>
      <c r="F78" s="33"/>
      <c r="G78" s="34"/>
      <c r="H78" s="33"/>
      <c r="I78" s="33" t="s">
        <v>3</v>
      </c>
      <c r="J78" s="33"/>
    </row>
    <row r="79" spans="2:11" s="35" customFormat="1" ht="18" customHeight="1">
      <c r="B79" s="36" t="s">
        <v>4</v>
      </c>
      <c r="D79" s="37" t="s">
        <v>184</v>
      </c>
      <c r="E79" s="38"/>
      <c r="F79" s="37" t="s">
        <v>140</v>
      </c>
      <c r="G79" s="39"/>
      <c r="H79" s="37" t="s">
        <v>184</v>
      </c>
      <c r="I79" s="38"/>
      <c r="J79" s="37" t="s">
        <v>140</v>
      </c>
      <c r="K79" s="40"/>
    </row>
    <row r="80" spans="2:11" s="35" customFormat="1" ht="18" customHeight="1">
      <c r="B80" s="36"/>
      <c r="D80" s="41" t="s">
        <v>137</v>
      </c>
      <c r="E80" s="42"/>
      <c r="F80" s="41" t="s">
        <v>138</v>
      </c>
      <c r="G80" s="43"/>
      <c r="H80" s="41" t="s">
        <v>137</v>
      </c>
      <c r="I80" s="42"/>
      <c r="J80" s="41" t="s">
        <v>138</v>
      </c>
      <c r="K80" s="40"/>
    </row>
    <row r="81" spans="2:11" s="35" customFormat="1" ht="18" customHeight="1">
      <c r="B81" s="36"/>
      <c r="D81" s="41" t="s">
        <v>139</v>
      </c>
      <c r="E81" s="42"/>
      <c r="F81" s="41" t="s">
        <v>154</v>
      </c>
      <c r="G81" s="43"/>
      <c r="H81" s="41" t="s">
        <v>139</v>
      </c>
      <c r="I81" s="42"/>
      <c r="J81" s="41"/>
      <c r="K81" s="40"/>
    </row>
    <row r="82" spans="1:10" ht="18" customHeight="1">
      <c r="A82" s="27" t="s">
        <v>55</v>
      </c>
      <c r="D82" s="32"/>
      <c r="E82" s="32"/>
      <c r="F82" s="32"/>
      <c r="H82" s="32"/>
      <c r="I82" s="32"/>
      <c r="J82" s="32"/>
    </row>
    <row r="83" spans="1:10" ht="18" customHeight="1">
      <c r="A83" s="27" t="s">
        <v>12</v>
      </c>
      <c r="B83" s="45"/>
      <c r="D83" s="32"/>
      <c r="E83" s="32"/>
      <c r="F83" s="32"/>
      <c r="H83" s="32"/>
      <c r="I83" s="32"/>
      <c r="J83" s="32"/>
    </row>
    <row r="84" spans="1:10" ht="18" customHeight="1">
      <c r="A84" s="27" t="s">
        <v>60</v>
      </c>
      <c r="B84" s="45">
        <v>11</v>
      </c>
      <c r="D84" s="32"/>
      <c r="E84" s="32"/>
      <c r="F84" s="32"/>
      <c r="H84" s="32"/>
      <c r="I84" s="32"/>
      <c r="J84" s="32"/>
    </row>
    <row r="85" spans="1:10" ht="18" customHeight="1">
      <c r="A85" s="27" t="s">
        <v>147</v>
      </c>
      <c r="B85" s="45"/>
      <c r="D85" s="32"/>
      <c r="E85" s="32"/>
      <c r="F85" s="32"/>
      <c r="H85" s="32"/>
      <c r="I85" s="32"/>
      <c r="J85" s="32"/>
    </row>
    <row r="86" spans="1:10" ht="18" customHeight="1" thickBot="1">
      <c r="A86" s="27" t="s">
        <v>141</v>
      </c>
      <c r="B86" s="45"/>
      <c r="D86" s="55">
        <v>201429000</v>
      </c>
      <c r="E86" s="32"/>
      <c r="F86" s="55">
        <v>805716000</v>
      </c>
      <c r="H86" s="55">
        <v>201429000</v>
      </c>
      <c r="I86" s="32"/>
      <c r="J86" s="55">
        <v>805716000</v>
      </c>
    </row>
    <row r="87" spans="1:2" ht="18" customHeight="1" thickTop="1">
      <c r="A87" s="27" t="s">
        <v>45</v>
      </c>
      <c r="B87" s="45"/>
    </row>
    <row r="88" ht="18" customHeight="1">
      <c r="A88" s="27" t="s">
        <v>147</v>
      </c>
    </row>
    <row r="89" spans="1:10" ht="18" customHeight="1">
      <c r="A89" s="27" t="s">
        <v>141</v>
      </c>
      <c r="B89" s="45">
        <v>11</v>
      </c>
      <c r="D89" s="48">
        <v>201429000</v>
      </c>
      <c r="E89" s="32"/>
      <c r="F89" s="48">
        <v>805716000</v>
      </c>
      <c r="H89" s="48">
        <v>201429000</v>
      </c>
      <c r="I89" s="32"/>
      <c r="J89" s="48">
        <v>805716000</v>
      </c>
    </row>
    <row r="90" spans="1:10" ht="18" customHeight="1">
      <c r="A90" s="27" t="s">
        <v>101</v>
      </c>
      <c r="B90" s="45"/>
      <c r="D90" s="32">
        <v>-193353128</v>
      </c>
      <c r="E90" s="32"/>
      <c r="F90" s="32">
        <v>-797640128</v>
      </c>
      <c r="H90" s="32">
        <f>-193353128</f>
        <v>-193353128</v>
      </c>
      <c r="I90" s="32"/>
      <c r="J90" s="32">
        <v>-797640128</v>
      </c>
    </row>
    <row r="91" spans="1:10" ht="18" customHeight="1">
      <c r="A91" s="27" t="s">
        <v>194</v>
      </c>
      <c r="B91" s="45"/>
      <c r="D91" s="46">
        <v>3759</v>
      </c>
      <c r="E91" s="32"/>
      <c r="F91" s="46" t="s">
        <v>6</v>
      </c>
      <c r="H91" s="46">
        <v>3759</v>
      </c>
      <c r="I91" s="32"/>
      <c r="J91" s="46" t="s">
        <v>6</v>
      </c>
    </row>
    <row r="92" spans="1:10" ht="18" customHeight="1">
      <c r="A92" s="27" t="s">
        <v>100</v>
      </c>
      <c r="B92" s="45">
        <v>6</v>
      </c>
      <c r="D92" s="32">
        <v>-39538</v>
      </c>
      <c r="E92" s="32"/>
      <c r="F92" s="32">
        <v>8569</v>
      </c>
      <c r="H92" s="32">
        <v>-39538</v>
      </c>
      <c r="I92" s="32"/>
      <c r="J92" s="32">
        <v>8569</v>
      </c>
    </row>
    <row r="93" spans="1:10" ht="18" customHeight="1">
      <c r="A93" s="27" t="s">
        <v>112</v>
      </c>
      <c r="B93" s="45"/>
      <c r="D93" s="51">
        <v>-683789</v>
      </c>
      <c r="E93" s="32"/>
      <c r="F93" s="51">
        <v>-413049</v>
      </c>
      <c r="H93" s="51">
        <v>-683789</v>
      </c>
      <c r="I93" s="32"/>
      <c r="J93" s="51">
        <v>-413049</v>
      </c>
    </row>
    <row r="94" spans="1:10" ht="18" customHeight="1">
      <c r="A94" s="27" t="s">
        <v>143</v>
      </c>
      <c r="B94" s="45"/>
      <c r="D94" s="48">
        <f>SUM(D89:D93)</f>
        <v>7356304</v>
      </c>
      <c r="E94" s="32"/>
      <c r="F94" s="48">
        <f>SUM(F89:F93)</f>
        <v>7671392</v>
      </c>
      <c r="H94" s="48">
        <f>SUM(H89:H93)</f>
        <v>7356304</v>
      </c>
      <c r="I94" s="32"/>
      <c r="J94" s="48">
        <f>SUM(J89:J93)</f>
        <v>7671392</v>
      </c>
    </row>
    <row r="95" spans="1:10" ht="18" customHeight="1">
      <c r="A95" s="47" t="s">
        <v>46</v>
      </c>
      <c r="B95" s="45"/>
      <c r="D95" s="48"/>
      <c r="E95" s="32"/>
      <c r="F95" s="48"/>
      <c r="H95" s="48"/>
      <c r="I95" s="32"/>
      <c r="J95" s="48"/>
    </row>
    <row r="96" spans="1:11" ht="18" customHeight="1">
      <c r="A96" s="27" t="s">
        <v>47</v>
      </c>
      <c r="D96" s="51">
        <v>630474</v>
      </c>
      <c r="E96" s="46"/>
      <c r="F96" s="51">
        <v>655417</v>
      </c>
      <c r="G96" s="46"/>
      <c r="H96" s="54" t="s">
        <v>6</v>
      </c>
      <c r="I96" s="46"/>
      <c r="J96" s="54" t="s">
        <v>6</v>
      </c>
      <c r="K96" s="53"/>
    </row>
    <row r="97" spans="1:10" ht="18" customHeight="1">
      <c r="A97" s="27" t="s">
        <v>142</v>
      </c>
      <c r="D97" s="51">
        <f>SUM(D94:D96)</f>
        <v>7986778</v>
      </c>
      <c r="E97" s="32"/>
      <c r="F97" s="51">
        <f>SUM(F94:F96)</f>
        <v>8326809</v>
      </c>
      <c r="H97" s="51">
        <f>SUM(H94:H96)</f>
        <v>7356304</v>
      </c>
      <c r="I97" s="32"/>
      <c r="J97" s="51">
        <f>SUM(J94:J96)</f>
        <v>7671392</v>
      </c>
    </row>
    <row r="98" spans="1:10" ht="18" customHeight="1" thickBot="1">
      <c r="A98" s="27" t="s">
        <v>13</v>
      </c>
      <c r="D98" s="55">
        <f>SUM(D71+D97)</f>
        <v>15892278</v>
      </c>
      <c r="E98" s="32"/>
      <c r="F98" s="55">
        <f>SUM(F71+F97)</f>
        <v>14337423</v>
      </c>
      <c r="H98" s="55">
        <f>SUM(H71+H97)</f>
        <v>12030324</v>
      </c>
      <c r="I98" s="32"/>
      <c r="J98" s="55">
        <f>SUM(J71+J97)</f>
        <v>10671874</v>
      </c>
    </row>
    <row r="99" spans="4:10" ht="18" customHeight="1" thickTop="1">
      <c r="D99" s="40">
        <f>SUM(D98-D42)</f>
        <v>0</v>
      </c>
      <c r="E99" s="35"/>
      <c r="F99" s="40">
        <f>SUM(F98-F42)</f>
        <v>0</v>
      </c>
      <c r="G99" s="40"/>
      <c r="H99" s="40">
        <f>SUM(H98-H42)</f>
        <v>0</v>
      </c>
      <c r="I99" s="35"/>
      <c r="J99" s="40">
        <f>SUM(J98-J42)</f>
        <v>0</v>
      </c>
    </row>
    <row r="100" ht="18" customHeight="1">
      <c r="A100" s="27" t="s">
        <v>8</v>
      </c>
    </row>
    <row r="102" ht="18" customHeight="1">
      <c r="A102" s="56"/>
    </row>
    <row r="104" ht="18" customHeight="1">
      <c r="B104" s="29" t="s">
        <v>14</v>
      </c>
    </row>
    <row r="105" ht="18" customHeight="1">
      <c r="A105" s="56"/>
    </row>
    <row r="106" spans="1:12" ht="18" customHeight="1">
      <c r="A106" s="21" t="s">
        <v>0</v>
      </c>
      <c r="B106" s="22"/>
      <c r="C106" s="23"/>
      <c r="D106" s="24"/>
      <c r="E106" s="24"/>
      <c r="F106" s="24"/>
      <c r="G106" s="24"/>
      <c r="H106" s="24"/>
      <c r="I106" s="24"/>
      <c r="J106" s="24"/>
      <c r="L106" s="26"/>
    </row>
    <row r="107" spans="1:10" ht="18" customHeight="1">
      <c r="A107" s="23" t="s">
        <v>15</v>
      </c>
      <c r="B107" s="22"/>
      <c r="C107" s="23"/>
      <c r="D107" s="24"/>
      <c r="E107" s="24"/>
      <c r="F107" s="24"/>
      <c r="G107" s="24"/>
      <c r="H107" s="28"/>
      <c r="I107" s="24"/>
      <c r="J107" s="28"/>
    </row>
    <row r="108" spans="1:10" ht="18" customHeight="1">
      <c r="A108" s="23" t="s">
        <v>185</v>
      </c>
      <c r="B108" s="22"/>
      <c r="C108" s="23"/>
      <c r="D108" s="24"/>
      <c r="E108" s="24"/>
      <c r="F108" s="24"/>
      <c r="G108" s="24"/>
      <c r="H108" s="28"/>
      <c r="I108" s="24"/>
      <c r="J108" s="28"/>
    </row>
    <row r="109" spans="1:10" ht="18" customHeight="1">
      <c r="A109" s="23"/>
      <c r="B109" s="22"/>
      <c r="C109" s="23"/>
      <c r="D109" s="24"/>
      <c r="E109" s="24"/>
      <c r="F109" s="24"/>
      <c r="G109" s="24"/>
      <c r="H109" s="28"/>
      <c r="I109" s="24"/>
      <c r="J109" s="28"/>
    </row>
    <row r="110" spans="2:10" ht="18" customHeight="1">
      <c r="B110" s="29"/>
      <c r="H110" s="31"/>
      <c r="J110" s="32" t="s">
        <v>146</v>
      </c>
    </row>
    <row r="111" spans="4:10" ht="18" customHeight="1">
      <c r="D111" s="33"/>
      <c r="E111" s="33" t="s">
        <v>2</v>
      </c>
      <c r="F111" s="33"/>
      <c r="G111" s="34"/>
      <c r="H111" s="33"/>
      <c r="I111" s="33" t="s">
        <v>3</v>
      </c>
      <c r="J111" s="33"/>
    </row>
    <row r="112" spans="2:11" s="35" customFormat="1" ht="18" customHeight="1">
      <c r="B112" s="36"/>
      <c r="D112" s="57">
        <v>2004</v>
      </c>
      <c r="E112" s="58"/>
      <c r="F112" s="57">
        <v>2003</v>
      </c>
      <c r="H112" s="57">
        <v>2004</v>
      </c>
      <c r="I112" s="58"/>
      <c r="J112" s="57">
        <v>2003</v>
      </c>
      <c r="K112" s="40"/>
    </row>
    <row r="113" ht="18" customHeight="1">
      <c r="A113" s="27" t="s">
        <v>39</v>
      </c>
    </row>
    <row r="114" spans="1:10" ht="18" customHeight="1">
      <c r="A114" s="47" t="s">
        <v>63</v>
      </c>
      <c r="D114" s="48">
        <v>127912</v>
      </c>
      <c r="E114" s="49"/>
      <c r="F114" s="48">
        <v>43855</v>
      </c>
      <c r="G114" s="49"/>
      <c r="H114" s="48">
        <f>41824-22893</f>
        <v>18931</v>
      </c>
      <c r="I114" s="48"/>
      <c r="J114" s="48">
        <v>25567</v>
      </c>
    </row>
    <row r="115" spans="1:10" ht="18" customHeight="1">
      <c r="A115" s="47" t="s">
        <v>102</v>
      </c>
      <c r="D115" s="44">
        <f>263753-162239</f>
        <v>101514</v>
      </c>
      <c r="E115" s="49"/>
      <c r="F115" s="44" t="s">
        <v>6</v>
      </c>
      <c r="G115" s="49"/>
      <c r="H115" s="44" t="s">
        <v>6</v>
      </c>
      <c r="I115" s="48"/>
      <c r="J115" s="44" t="s">
        <v>6</v>
      </c>
    </row>
    <row r="116" spans="1:10" ht="18" customHeight="1">
      <c r="A116" s="47" t="s">
        <v>156</v>
      </c>
      <c r="D116" s="44">
        <f>24505-13089</f>
        <v>11416</v>
      </c>
      <c r="E116" s="49"/>
      <c r="F116" s="44" t="s">
        <v>6</v>
      </c>
      <c r="G116" s="49"/>
      <c r="H116" s="44" t="s">
        <v>6</v>
      </c>
      <c r="I116" s="48"/>
      <c r="J116" s="44" t="s">
        <v>6</v>
      </c>
    </row>
    <row r="117" spans="1:10" ht="18" customHeight="1">
      <c r="A117" s="47" t="s">
        <v>205</v>
      </c>
      <c r="D117" s="44">
        <v>12261</v>
      </c>
      <c r="E117" s="49"/>
      <c r="F117" s="44" t="s">
        <v>6</v>
      </c>
      <c r="G117" s="49"/>
      <c r="H117" s="44" t="s">
        <v>6</v>
      </c>
      <c r="I117" s="48"/>
      <c r="J117" s="44" t="s">
        <v>6</v>
      </c>
    </row>
    <row r="118" spans="1:10" ht="18" customHeight="1">
      <c r="A118" s="47" t="s">
        <v>157</v>
      </c>
      <c r="D118" s="44">
        <f>6714-3360</f>
        <v>3354</v>
      </c>
      <c r="E118" s="49"/>
      <c r="F118" s="44" t="s">
        <v>6</v>
      </c>
      <c r="G118" s="49"/>
      <c r="H118" s="44" t="s">
        <v>6</v>
      </c>
      <c r="I118" s="48"/>
      <c r="J118" s="44" t="s">
        <v>6</v>
      </c>
    </row>
    <row r="119" spans="1:10" ht="18" customHeight="1">
      <c r="A119" s="47" t="s">
        <v>61</v>
      </c>
      <c r="D119" s="44">
        <f>13990-1988</f>
        <v>12002</v>
      </c>
      <c r="E119" s="49"/>
      <c r="F119" s="44" t="s">
        <v>6</v>
      </c>
      <c r="G119" s="49"/>
      <c r="H119" s="44">
        <f>13915-1988</f>
        <v>11927</v>
      </c>
      <c r="I119" s="48"/>
      <c r="J119" s="44" t="s">
        <v>6</v>
      </c>
    </row>
    <row r="120" spans="1:10" ht="18" customHeight="1">
      <c r="A120" s="47" t="s">
        <v>48</v>
      </c>
      <c r="B120" s="45"/>
      <c r="D120" s="48">
        <v>11155</v>
      </c>
      <c r="E120" s="49"/>
      <c r="F120" s="48">
        <v>1706</v>
      </c>
      <c r="G120" s="49"/>
      <c r="H120" s="48">
        <f>20717-12303</f>
        <v>8414</v>
      </c>
      <c r="I120" s="48"/>
      <c r="J120" s="48">
        <v>1702</v>
      </c>
    </row>
    <row r="121" spans="1:10" ht="18" customHeight="1">
      <c r="A121" s="47" t="s">
        <v>104</v>
      </c>
      <c r="B121" s="45"/>
      <c r="D121" s="44">
        <f>79605-55476+21</f>
        <v>24150</v>
      </c>
      <c r="E121" s="49"/>
      <c r="F121" s="44">
        <v>38308</v>
      </c>
      <c r="G121" s="49"/>
      <c r="H121" s="44">
        <v>20861</v>
      </c>
      <c r="I121" s="48"/>
      <c r="J121" s="44">
        <v>38308</v>
      </c>
    </row>
    <row r="122" spans="1:10" ht="18" customHeight="1">
      <c r="A122" s="27" t="s">
        <v>37</v>
      </c>
      <c r="B122" s="45"/>
      <c r="D122" s="50">
        <f>SUM(D114:D121)</f>
        <v>303764</v>
      </c>
      <c r="E122" s="48"/>
      <c r="F122" s="50">
        <f>SUM(F114:F121)</f>
        <v>83869</v>
      </c>
      <c r="G122" s="48"/>
      <c r="H122" s="50">
        <f>SUM(H114:H121)</f>
        <v>60133</v>
      </c>
      <c r="I122" s="48"/>
      <c r="J122" s="50">
        <f>SUM(J114:J121)</f>
        <v>65577</v>
      </c>
    </row>
    <row r="123" spans="1:10" ht="18" customHeight="1">
      <c r="A123" s="27" t="s">
        <v>38</v>
      </c>
      <c r="D123" s="48"/>
      <c r="F123" s="48"/>
      <c r="H123" s="48"/>
      <c r="I123" s="32"/>
      <c r="J123" s="48"/>
    </row>
    <row r="124" spans="1:10" ht="18" customHeight="1">
      <c r="A124" s="47" t="s">
        <v>62</v>
      </c>
      <c r="D124" s="48">
        <f>260656-124135</f>
        <v>136521</v>
      </c>
      <c r="E124" s="49"/>
      <c r="F124" s="48">
        <v>32783</v>
      </c>
      <c r="G124" s="49"/>
      <c r="H124" s="48">
        <f>20732-8940</f>
        <v>11792</v>
      </c>
      <c r="I124" s="48"/>
      <c r="J124" s="48">
        <v>10647</v>
      </c>
    </row>
    <row r="125" spans="1:10" ht="18" customHeight="1">
      <c r="A125" s="47" t="s">
        <v>124</v>
      </c>
      <c r="D125" s="44">
        <f>191467-103701</f>
        <v>87766</v>
      </c>
      <c r="E125" s="49"/>
      <c r="F125" s="44" t="s">
        <v>6</v>
      </c>
      <c r="G125" s="44"/>
      <c r="H125" s="44" t="s">
        <v>6</v>
      </c>
      <c r="I125" s="48"/>
      <c r="J125" s="44" t="s">
        <v>6</v>
      </c>
    </row>
    <row r="126" spans="1:10" ht="18" customHeight="1">
      <c r="A126" s="47" t="s">
        <v>158</v>
      </c>
      <c r="D126" s="44">
        <f>27170-13862</f>
        <v>13308</v>
      </c>
      <c r="E126" s="49"/>
      <c r="F126" s="44" t="s">
        <v>6</v>
      </c>
      <c r="G126" s="44"/>
      <c r="H126" s="44" t="s">
        <v>6</v>
      </c>
      <c r="I126" s="48"/>
      <c r="J126" s="44" t="s">
        <v>6</v>
      </c>
    </row>
    <row r="127" spans="1:10" ht="18" customHeight="1">
      <c r="A127" s="47" t="s">
        <v>206</v>
      </c>
      <c r="D127" s="44">
        <v>4826</v>
      </c>
      <c r="E127" s="49"/>
      <c r="F127" s="44" t="s">
        <v>6</v>
      </c>
      <c r="G127" s="44"/>
      <c r="H127" s="44" t="s">
        <v>6</v>
      </c>
      <c r="I127" s="48"/>
      <c r="J127" s="44" t="s">
        <v>6</v>
      </c>
    </row>
    <row r="128" spans="1:10" ht="18" customHeight="1">
      <c r="A128" s="47" t="s">
        <v>207</v>
      </c>
      <c r="B128" s="45"/>
      <c r="D128" s="30">
        <v>143770</v>
      </c>
      <c r="F128" s="30">
        <v>24472</v>
      </c>
      <c r="H128" s="30">
        <f>118160-42285</f>
        <v>75875</v>
      </c>
      <c r="I128" s="32"/>
      <c r="J128" s="30">
        <v>15547</v>
      </c>
    </row>
    <row r="129" spans="1:10" ht="18" customHeight="1">
      <c r="A129" s="47" t="s">
        <v>128</v>
      </c>
      <c r="B129" s="45"/>
      <c r="D129" s="46">
        <f>1260-630</f>
        <v>630</v>
      </c>
      <c r="F129" s="46" t="s">
        <v>6</v>
      </c>
      <c r="H129" s="46">
        <f>1260-630</f>
        <v>630</v>
      </c>
      <c r="I129" s="32"/>
      <c r="J129" s="46" t="s">
        <v>6</v>
      </c>
    </row>
    <row r="130" spans="1:10" ht="18" customHeight="1">
      <c r="A130" s="47" t="s">
        <v>71</v>
      </c>
      <c r="B130" s="45"/>
      <c r="D130" s="30">
        <f>221364-157332</f>
        <v>64032</v>
      </c>
      <c r="F130" s="30">
        <v>167446</v>
      </c>
      <c r="H130" s="30">
        <f>221364-157332</f>
        <v>64032</v>
      </c>
      <c r="I130" s="32"/>
      <c r="J130" s="30">
        <v>167446</v>
      </c>
    </row>
    <row r="131" spans="1:10" ht="18" customHeight="1">
      <c r="A131" s="47" t="s">
        <v>64</v>
      </c>
      <c r="B131" s="45"/>
      <c r="D131" s="49">
        <f>-223634+158445</f>
        <v>-65189</v>
      </c>
      <c r="E131" s="49"/>
      <c r="F131" s="49">
        <v>-167566</v>
      </c>
      <c r="G131" s="49"/>
      <c r="H131" s="49">
        <f>-241983-(-164807)</f>
        <v>-77176</v>
      </c>
      <c r="I131" s="48"/>
      <c r="J131" s="49">
        <v>-167892</v>
      </c>
    </row>
    <row r="132" spans="1:10" ht="18" customHeight="1">
      <c r="A132" s="47" t="s">
        <v>103</v>
      </c>
      <c r="B132" s="45"/>
      <c r="D132" s="59">
        <f>68842-40586</f>
        <v>28256</v>
      </c>
      <c r="E132" s="49"/>
      <c r="F132" s="59">
        <v>1958</v>
      </c>
      <c r="G132" s="49"/>
      <c r="H132" s="59">
        <v>111621</v>
      </c>
      <c r="I132" s="48"/>
      <c r="J132" s="59">
        <v>19287</v>
      </c>
    </row>
    <row r="133" spans="1:11" ht="18" customHeight="1">
      <c r="A133" s="27" t="s">
        <v>40</v>
      </c>
      <c r="D133" s="51">
        <f>SUM(D124:D132)</f>
        <v>413920</v>
      </c>
      <c r="F133" s="51">
        <f>SUM(F124:F132)</f>
        <v>59093</v>
      </c>
      <c r="H133" s="51">
        <f>SUM(H124:H132)</f>
        <v>186774</v>
      </c>
      <c r="I133" s="32"/>
      <c r="J133" s="51">
        <f>SUM(J124:J132)</f>
        <v>45035</v>
      </c>
      <c r="K133" s="60"/>
    </row>
    <row r="134" spans="1:10" ht="18" customHeight="1">
      <c r="A134" s="27" t="s">
        <v>166</v>
      </c>
      <c r="D134" s="48">
        <f>SUM(D122-D133)</f>
        <v>-110156</v>
      </c>
      <c r="F134" s="48">
        <f>SUM(F122-F133)</f>
        <v>24776</v>
      </c>
      <c r="H134" s="48">
        <f>SUM(H122-H133)</f>
        <v>-126641</v>
      </c>
      <c r="I134" s="32"/>
      <c r="J134" s="48">
        <f>SUM(J122-J133)</f>
        <v>20542</v>
      </c>
    </row>
    <row r="135" spans="1:10" ht="18" customHeight="1">
      <c r="A135" s="47" t="s">
        <v>58</v>
      </c>
      <c r="D135" s="46">
        <f>-163547+73722</f>
        <v>-89825</v>
      </c>
      <c r="F135" s="46">
        <v>-8755</v>
      </c>
      <c r="H135" s="46">
        <f>-113506-(-48991)</f>
        <v>-64515</v>
      </c>
      <c r="I135" s="32"/>
      <c r="J135" s="46">
        <v>-4521</v>
      </c>
    </row>
    <row r="136" spans="1:10" ht="18" customHeight="1">
      <c r="A136" s="47" t="s">
        <v>129</v>
      </c>
      <c r="D136" s="54">
        <f>-23616+18349</f>
        <v>-5267</v>
      </c>
      <c r="F136" s="54" t="s">
        <v>6</v>
      </c>
      <c r="H136" s="74" t="s">
        <v>6</v>
      </c>
      <c r="I136" s="32"/>
      <c r="J136" s="54" t="s">
        <v>6</v>
      </c>
    </row>
    <row r="137" spans="1:10" ht="18" customHeight="1">
      <c r="A137" s="47" t="s">
        <v>167</v>
      </c>
      <c r="B137" s="45"/>
      <c r="D137" s="32">
        <f>SUM(D134:D136)</f>
        <v>-205248</v>
      </c>
      <c r="E137" s="32"/>
      <c r="F137" s="32">
        <f>SUM(F134:F136)</f>
        <v>16021</v>
      </c>
      <c r="H137" s="32">
        <f>SUM(H134:H136)</f>
        <v>-191156</v>
      </c>
      <c r="I137" s="32"/>
      <c r="J137" s="32">
        <f>SUM(J134:J136)</f>
        <v>16021</v>
      </c>
    </row>
    <row r="138" spans="1:10" ht="18" customHeight="1">
      <c r="A138" s="47" t="s">
        <v>208</v>
      </c>
      <c r="B138" s="45"/>
      <c r="D138" s="54">
        <f>-10603+24695</f>
        <v>14092</v>
      </c>
      <c r="E138" s="32"/>
      <c r="F138" s="54" t="s">
        <v>6</v>
      </c>
      <c r="H138" s="54" t="s">
        <v>6</v>
      </c>
      <c r="I138" s="32"/>
      <c r="J138" s="54" t="s">
        <v>6</v>
      </c>
    </row>
    <row r="139" spans="1:10" ht="18" customHeight="1" thickBot="1">
      <c r="A139" s="47" t="s">
        <v>168</v>
      </c>
      <c r="B139" s="61"/>
      <c r="D139" s="52">
        <f>SUM(D137:D138)</f>
        <v>-191156</v>
      </c>
      <c r="F139" s="52">
        <f>SUM(F137:F138)</f>
        <v>16021</v>
      </c>
      <c r="H139" s="52">
        <f>SUM(H137:H138)</f>
        <v>-191156</v>
      </c>
      <c r="I139" s="32"/>
      <c r="J139" s="52">
        <f>SUM(J137:J138)</f>
        <v>16021</v>
      </c>
    </row>
    <row r="140" ht="18" customHeight="1" thickTop="1"/>
    <row r="141" spans="1:10" ht="18" customHeight="1">
      <c r="A141" s="47" t="s">
        <v>172</v>
      </c>
      <c r="B141" s="45"/>
      <c r="D141" s="32"/>
      <c r="F141" s="32"/>
      <c r="H141" s="32"/>
      <c r="I141" s="32"/>
      <c r="J141" s="32"/>
    </row>
    <row r="142" spans="1:11" s="64" customFormat="1" ht="18" customHeight="1" thickBot="1">
      <c r="A142" s="62" t="s">
        <v>173</v>
      </c>
      <c r="B142" s="63"/>
      <c r="D142" s="65">
        <v>-0.02</v>
      </c>
      <c r="E142" s="66"/>
      <c r="F142" s="67" t="s">
        <v>6</v>
      </c>
      <c r="G142" s="66"/>
      <c r="H142" s="65">
        <v>-0.02</v>
      </c>
      <c r="I142" s="66"/>
      <c r="J142" s="67" t="s">
        <v>6</v>
      </c>
      <c r="K142" s="68"/>
    </row>
    <row r="143" spans="1:10" ht="18" customHeight="1" thickTop="1">
      <c r="A143" s="47"/>
      <c r="B143" s="45"/>
      <c r="D143" s="48"/>
      <c r="F143" s="48"/>
      <c r="H143" s="48"/>
      <c r="J143" s="48"/>
    </row>
    <row r="144" spans="1:10" ht="18" customHeight="1">
      <c r="A144" s="47" t="s">
        <v>136</v>
      </c>
      <c r="B144" s="45"/>
      <c r="D144" s="48"/>
      <c r="F144" s="48"/>
      <c r="H144" s="48"/>
      <c r="J144" s="48"/>
    </row>
    <row r="145" spans="1:10" ht="18" customHeight="1" thickBot="1">
      <c r="A145" s="47" t="s">
        <v>144</v>
      </c>
      <c r="B145" s="45"/>
      <c r="D145" s="55">
        <v>8057.16</v>
      </c>
      <c r="F145" s="55">
        <v>7076</v>
      </c>
      <c r="H145" s="55">
        <v>8057.16</v>
      </c>
      <c r="J145" s="55">
        <v>7076</v>
      </c>
    </row>
    <row r="146" ht="18" customHeight="1" thickTop="1">
      <c r="A146" s="69"/>
    </row>
    <row r="147" ht="18" customHeight="1">
      <c r="A147" s="27" t="s">
        <v>8</v>
      </c>
    </row>
    <row r="148" spans="1:12" ht="18" customHeight="1">
      <c r="A148" s="21" t="s">
        <v>0</v>
      </c>
      <c r="B148" s="22"/>
      <c r="C148" s="23"/>
      <c r="D148" s="24"/>
      <c r="E148" s="24"/>
      <c r="F148" s="24"/>
      <c r="G148" s="24"/>
      <c r="H148" s="24"/>
      <c r="I148" s="24"/>
      <c r="J148" s="24"/>
      <c r="L148" s="26"/>
    </row>
    <row r="149" spans="1:10" ht="18" customHeight="1">
      <c r="A149" s="23" t="s">
        <v>15</v>
      </c>
      <c r="B149" s="22"/>
      <c r="C149" s="23"/>
      <c r="D149" s="24"/>
      <c r="E149" s="24"/>
      <c r="F149" s="24"/>
      <c r="G149" s="24"/>
      <c r="H149" s="28"/>
      <c r="I149" s="24"/>
      <c r="J149" s="28"/>
    </row>
    <row r="150" spans="1:10" ht="18" customHeight="1">
      <c r="A150" s="23" t="s">
        <v>186</v>
      </c>
      <c r="B150" s="22"/>
      <c r="C150" s="23"/>
      <c r="D150" s="24"/>
      <c r="E150" s="24"/>
      <c r="F150" s="24"/>
      <c r="G150" s="24"/>
      <c r="H150" s="28"/>
      <c r="I150" s="24"/>
      <c r="J150" s="28"/>
    </row>
    <row r="151" spans="1:10" ht="18" customHeight="1">
      <c r="A151" s="23"/>
      <c r="B151" s="22"/>
      <c r="C151" s="23"/>
      <c r="D151" s="24"/>
      <c r="E151" s="24"/>
      <c r="F151" s="24"/>
      <c r="G151" s="24"/>
      <c r="H151" s="28"/>
      <c r="I151" s="24"/>
      <c r="J151" s="28"/>
    </row>
    <row r="152" spans="2:10" ht="18" customHeight="1">
      <c r="B152" s="29"/>
      <c r="H152" s="31"/>
      <c r="J152" s="32" t="s">
        <v>146</v>
      </c>
    </row>
    <row r="153" spans="4:10" ht="18" customHeight="1">
      <c r="D153" s="33"/>
      <c r="E153" s="33" t="s">
        <v>2</v>
      </c>
      <c r="F153" s="33"/>
      <c r="G153" s="34"/>
      <c r="H153" s="33"/>
      <c r="I153" s="33" t="s">
        <v>3</v>
      </c>
      <c r="J153" s="33"/>
    </row>
    <row r="154" spans="2:11" s="35" customFormat="1" ht="18" customHeight="1">
      <c r="B154" s="36"/>
      <c r="D154" s="57">
        <v>2004</v>
      </c>
      <c r="E154" s="58"/>
      <c r="F154" s="57">
        <v>2003</v>
      </c>
      <c r="H154" s="57">
        <v>2004</v>
      </c>
      <c r="I154" s="58"/>
      <c r="J154" s="57">
        <v>2003</v>
      </c>
      <c r="K154" s="40"/>
    </row>
    <row r="155" ht="18" customHeight="1">
      <c r="A155" s="27" t="s">
        <v>39</v>
      </c>
    </row>
    <row r="156" spans="1:10" ht="18" customHeight="1">
      <c r="A156" s="47" t="s">
        <v>63</v>
      </c>
      <c r="D156" s="48">
        <v>260782</v>
      </c>
      <c r="E156" s="49"/>
      <c r="F156" s="48">
        <v>85734</v>
      </c>
      <c r="G156" s="49"/>
      <c r="H156" s="48">
        <v>41824</v>
      </c>
      <c r="I156" s="48"/>
      <c r="J156" s="48">
        <v>51142</v>
      </c>
    </row>
    <row r="157" spans="1:10" ht="18" customHeight="1">
      <c r="A157" s="47" t="s">
        <v>102</v>
      </c>
      <c r="D157" s="44">
        <v>263753</v>
      </c>
      <c r="E157" s="49"/>
      <c r="F157" s="44" t="s">
        <v>6</v>
      </c>
      <c r="G157" s="49"/>
      <c r="H157" s="44" t="s">
        <v>6</v>
      </c>
      <c r="I157" s="48"/>
      <c r="J157" s="44" t="s">
        <v>6</v>
      </c>
    </row>
    <row r="158" spans="1:10" ht="18" customHeight="1">
      <c r="A158" s="47" t="s">
        <v>156</v>
      </c>
      <c r="D158" s="44">
        <v>24505</v>
      </c>
      <c r="E158" s="49"/>
      <c r="F158" s="44" t="s">
        <v>6</v>
      </c>
      <c r="G158" s="49"/>
      <c r="H158" s="44" t="s">
        <v>6</v>
      </c>
      <c r="I158" s="48"/>
      <c r="J158" s="44" t="s">
        <v>6</v>
      </c>
    </row>
    <row r="159" spans="1:10" ht="18" customHeight="1">
      <c r="A159" s="47" t="s">
        <v>205</v>
      </c>
      <c r="D159" s="44">
        <v>12261</v>
      </c>
      <c r="E159" s="49"/>
      <c r="F159" s="44" t="s">
        <v>6</v>
      </c>
      <c r="G159" s="49"/>
      <c r="H159" s="44" t="s">
        <v>6</v>
      </c>
      <c r="I159" s="48"/>
      <c r="J159" s="44" t="s">
        <v>6</v>
      </c>
    </row>
    <row r="160" spans="1:10" ht="18" customHeight="1">
      <c r="A160" s="47" t="s">
        <v>157</v>
      </c>
      <c r="D160" s="44">
        <v>6714</v>
      </c>
      <c r="E160" s="49"/>
      <c r="F160" s="44" t="s">
        <v>6</v>
      </c>
      <c r="G160" s="49"/>
      <c r="H160" s="44" t="s">
        <v>6</v>
      </c>
      <c r="I160" s="48"/>
      <c r="J160" s="44" t="s">
        <v>6</v>
      </c>
    </row>
    <row r="161" spans="1:10" ht="18" customHeight="1">
      <c r="A161" s="47" t="s">
        <v>61</v>
      </c>
      <c r="D161" s="44">
        <v>13990</v>
      </c>
      <c r="E161" s="49"/>
      <c r="F161" s="44" t="s">
        <v>6</v>
      </c>
      <c r="G161" s="49"/>
      <c r="H161" s="44">
        <v>13915</v>
      </c>
      <c r="I161" s="48"/>
      <c r="J161" s="44" t="s">
        <v>6</v>
      </c>
    </row>
    <row r="162" spans="1:10" ht="18" customHeight="1">
      <c r="A162" s="47" t="s">
        <v>48</v>
      </c>
      <c r="B162" s="45"/>
      <c r="D162" s="48">
        <v>24379</v>
      </c>
      <c r="E162" s="49"/>
      <c r="F162" s="48">
        <v>2276</v>
      </c>
      <c r="G162" s="49"/>
      <c r="H162" s="48">
        <f>20716+1</f>
        <v>20717</v>
      </c>
      <c r="I162" s="48"/>
      <c r="J162" s="48">
        <v>2272</v>
      </c>
    </row>
    <row r="163" spans="1:10" ht="18" customHeight="1">
      <c r="A163" s="47" t="s">
        <v>104</v>
      </c>
      <c r="B163" s="45"/>
      <c r="D163" s="44">
        <f>79605+19</f>
        <v>79624</v>
      </c>
      <c r="E163" s="49"/>
      <c r="F163" s="44">
        <v>52257</v>
      </c>
      <c r="G163" s="49"/>
      <c r="H163" s="44">
        <f>39108+19</f>
        <v>39127</v>
      </c>
      <c r="I163" s="48"/>
      <c r="J163" s="44">
        <v>52257</v>
      </c>
    </row>
    <row r="164" spans="1:10" ht="18" customHeight="1">
      <c r="A164" s="27" t="s">
        <v>37</v>
      </c>
      <c r="B164" s="45"/>
      <c r="D164" s="50">
        <f>SUM(D156:D163)</f>
        <v>686008</v>
      </c>
      <c r="E164" s="48"/>
      <c r="F164" s="50">
        <f>SUM(F156:F163)</f>
        <v>140267</v>
      </c>
      <c r="G164" s="48"/>
      <c r="H164" s="50">
        <f>SUM(H156:H163)</f>
        <v>115583</v>
      </c>
      <c r="I164" s="48"/>
      <c r="J164" s="50">
        <f>SUM(J156:J163)</f>
        <v>105671</v>
      </c>
    </row>
    <row r="165" spans="1:10" ht="18" customHeight="1">
      <c r="A165" s="27" t="s">
        <v>38</v>
      </c>
      <c r="D165" s="48"/>
      <c r="F165" s="48"/>
      <c r="H165" s="48"/>
      <c r="I165" s="32"/>
      <c r="J165" s="48"/>
    </row>
    <row r="166" spans="1:10" ht="18" customHeight="1">
      <c r="A166" s="47" t="s">
        <v>62</v>
      </c>
      <c r="D166" s="48">
        <f>248348+12308</f>
        <v>260656</v>
      </c>
      <c r="E166" s="49"/>
      <c r="F166" s="48">
        <v>60584</v>
      </c>
      <c r="G166" s="49"/>
      <c r="H166" s="48">
        <v>20732</v>
      </c>
      <c r="I166" s="48"/>
      <c r="J166" s="48">
        <v>20267</v>
      </c>
    </row>
    <row r="167" spans="1:10" ht="18" customHeight="1">
      <c r="A167" s="47" t="s">
        <v>124</v>
      </c>
      <c r="D167" s="44">
        <v>191466</v>
      </c>
      <c r="E167" s="49"/>
      <c r="F167" s="44" t="s">
        <v>6</v>
      </c>
      <c r="G167" s="44"/>
      <c r="H167" s="44" t="s">
        <v>6</v>
      </c>
      <c r="I167" s="48"/>
      <c r="J167" s="44" t="s">
        <v>6</v>
      </c>
    </row>
    <row r="168" spans="1:10" ht="18" customHeight="1">
      <c r="A168" s="47" t="s">
        <v>158</v>
      </c>
      <c r="D168" s="44">
        <v>27170</v>
      </c>
      <c r="E168" s="49"/>
      <c r="F168" s="44" t="s">
        <v>6</v>
      </c>
      <c r="G168" s="44"/>
      <c r="H168" s="44" t="s">
        <v>6</v>
      </c>
      <c r="I168" s="48"/>
      <c r="J168" s="44" t="s">
        <v>6</v>
      </c>
    </row>
    <row r="169" spans="1:10" ht="18" customHeight="1">
      <c r="A169" s="47" t="s">
        <v>206</v>
      </c>
      <c r="D169" s="44">
        <v>4826</v>
      </c>
      <c r="E169" s="49"/>
      <c r="F169" s="44"/>
      <c r="G169" s="44"/>
      <c r="H169" s="44" t="s">
        <v>6</v>
      </c>
      <c r="I169" s="48"/>
      <c r="J169" s="44"/>
    </row>
    <row r="170" spans="1:10" ht="18" customHeight="1">
      <c r="A170" s="47" t="s">
        <v>207</v>
      </c>
      <c r="B170" s="45"/>
      <c r="D170" s="30">
        <f>207032</f>
        <v>207032</v>
      </c>
      <c r="F170" s="30">
        <v>43177</v>
      </c>
      <c r="H170" s="30">
        <v>118160</v>
      </c>
      <c r="I170" s="32"/>
      <c r="J170" s="30">
        <v>30225</v>
      </c>
    </row>
    <row r="171" spans="1:10" ht="18" customHeight="1">
      <c r="A171" s="47" t="s">
        <v>128</v>
      </c>
      <c r="B171" s="45"/>
      <c r="D171" s="46">
        <v>1260</v>
      </c>
      <c r="F171" s="46" t="s">
        <v>6</v>
      </c>
      <c r="H171" s="46">
        <v>1260</v>
      </c>
      <c r="I171" s="32"/>
      <c r="J171" s="46" t="s">
        <v>6</v>
      </c>
    </row>
    <row r="172" spans="1:10" ht="18" customHeight="1">
      <c r="A172" s="47" t="s">
        <v>71</v>
      </c>
      <c r="B172" s="45"/>
      <c r="D172" s="30">
        <v>221364</v>
      </c>
      <c r="F172" s="30">
        <v>335295</v>
      </c>
      <c r="H172" s="30">
        <v>221364</v>
      </c>
      <c r="I172" s="32"/>
      <c r="J172" s="30">
        <v>335295</v>
      </c>
    </row>
    <row r="173" spans="1:10" ht="18" customHeight="1">
      <c r="A173" s="47" t="s">
        <v>64</v>
      </c>
      <c r="B173" s="45"/>
      <c r="D173" s="49">
        <v>-223634</v>
      </c>
      <c r="E173" s="49"/>
      <c r="F173" s="49">
        <v>-335415</v>
      </c>
      <c r="G173" s="49"/>
      <c r="H173" s="49">
        <v>-241983</v>
      </c>
      <c r="I173" s="48"/>
      <c r="J173" s="49">
        <v>-335741</v>
      </c>
    </row>
    <row r="174" spans="1:10" ht="18" customHeight="1">
      <c r="A174" s="47" t="s">
        <v>103</v>
      </c>
      <c r="B174" s="45"/>
      <c r="D174" s="59">
        <v>68842</v>
      </c>
      <c r="E174" s="49"/>
      <c r="F174" s="59">
        <v>2001</v>
      </c>
      <c r="G174" s="49"/>
      <c r="H174" s="59">
        <v>153284</v>
      </c>
      <c r="I174" s="48"/>
      <c r="J174" s="59">
        <v>28439</v>
      </c>
    </row>
    <row r="175" spans="1:11" ht="18" customHeight="1">
      <c r="A175" s="27" t="s">
        <v>40</v>
      </c>
      <c r="D175" s="51">
        <f>SUM(D166:D174)</f>
        <v>758982</v>
      </c>
      <c r="F175" s="51">
        <f>SUM(F166:F174)</f>
        <v>105642</v>
      </c>
      <c r="H175" s="51">
        <f>SUM(H166:H174)</f>
        <v>272817</v>
      </c>
      <c r="I175" s="32"/>
      <c r="J175" s="51">
        <f>SUM(J166:J174)</f>
        <v>78485</v>
      </c>
      <c r="K175" s="60"/>
    </row>
    <row r="176" spans="1:10" ht="18" customHeight="1">
      <c r="A176" s="27" t="s">
        <v>166</v>
      </c>
      <c r="D176" s="48">
        <f>SUM(D164-D175)</f>
        <v>-72974</v>
      </c>
      <c r="F176" s="48">
        <f>SUM(F164-F175)</f>
        <v>34625</v>
      </c>
      <c r="H176" s="48">
        <f>SUM(H164-H175)</f>
        <v>-157234</v>
      </c>
      <c r="I176" s="32"/>
      <c r="J176" s="48">
        <f>SUM(J164-J175)</f>
        <v>27186</v>
      </c>
    </row>
    <row r="177" spans="1:10" ht="18" customHeight="1">
      <c r="A177" s="47" t="s">
        <v>58</v>
      </c>
      <c r="D177" s="46">
        <v>-163547</v>
      </c>
      <c r="F177" s="46">
        <v>-11960</v>
      </c>
      <c r="H177" s="46">
        <v>-113506</v>
      </c>
      <c r="I177" s="32"/>
      <c r="J177" s="46">
        <v>-4521</v>
      </c>
    </row>
    <row r="178" spans="1:10" ht="18" customHeight="1">
      <c r="A178" s="47" t="s">
        <v>129</v>
      </c>
      <c r="D178" s="54">
        <v>-23616</v>
      </c>
      <c r="F178" s="54" t="s">
        <v>6</v>
      </c>
      <c r="H178" s="54" t="s">
        <v>6</v>
      </c>
      <c r="I178" s="32"/>
      <c r="J178" s="54" t="s">
        <v>6</v>
      </c>
    </row>
    <row r="179" spans="1:10" ht="18" customHeight="1">
      <c r="A179" s="47" t="s">
        <v>167</v>
      </c>
      <c r="B179" s="45"/>
      <c r="D179" s="32">
        <f>SUM(D176:D178)</f>
        <v>-260137</v>
      </c>
      <c r="E179" s="32"/>
      <c r="F179" s="32">
        <f>SUM(F176:F178)</f>
        <v>22665</v>
      </c>
      <c r="H179" s="32">
        <f>SUM(H176:H178)</f>
        <v>-270740</v>
      </c>
      <c r="I179" s="32"/>
      <c r="J179" s="32">
        <f>SUM(J176:J178)</f>
        <v>22665</v>
      </c>
    </row>
    <row r="180" spans="1:10" ht="18" customHeight="1">
      <c r="A180" s="47" t="s">
        <v>171</v>
      </c>
      <c r="B180" s="45"/>
      <c r="D180" s="54">
        <v>-10603</v>
      </c>
      <c r="E180" s="32"/>
      <c r="F180" s="54" t="s">
        <v>6</v>
      </c>
      <c r="H180" s="54" t="s">
        <v>6</v>
      </c>
      <c r="I180" s="32"/>
      <c r="J180" s="54" t="s">
        <v>6</v>
      </c>
    </row>
    <row r="181" spans="1:10" ht="18" customHeight="1" thickBot="1">
      <c r="A181" s="47" t="s">
        <v>168</v>
      </c>
      <c r="B181" s="61"/>
      <c r="D181" s="52">
        <f>SUM(D179:D180)</f>
        <v>-270740</v>
      </c>
      <c r="F181" s="52">
        <f>SUM(F179:F180)</f>
        <v>22665</v>
      </c>
      <c r="H181" s="52">
        <f>SUM(H179:H180)</f>
        <v>-270740</v>
      </c>
      <c r="I181" s="32"/>
      <c r="J181" s="52">
        <f>SUM(J179:J180)</f>
        <v>22665</v>
      </c>
    </row>
    <row r="182" ht="18" customHeight="1" thickTop="1"/>
    <row r="183" spans="1:10" ht="18" customHeight="1">
      <c r="A183" s="47" t="s">
        <v>172</v>
      </c>
      <c r="B183" s="45"/>
      <c r="D183" s="32"/>
      <c r="F183" s="32"/>
      <c r="H183" s="32"/>
      <c r="I183" s="32"/>
      <c r="J183" s="32"/>
    </row>
    <row r="184" spans="1:11" s="64" customFormat="1" ht="18" customHeight="1" thickBot="1">
      <c r="A184" s="62" t="s">
        <v>173</v>
      </c>
      <c r="B184" s="63"/>
      <c r="D184" s="65">
        <v>-0.03</v>
      </c>
      <c r="E184" s="66"/>
      <c r="F184" s="67" t="s">
        <v>6</v>
      </c>
      <c r="G184" s="66"/>
      <c r="H184" s="65">
        <v>-0.03</v>
      </c>
      <c r="I184" s="66"/>
      <c r="J184" s="67" t="s">
        <v>6</v>
      </c>
      <c r="K184" s="68"/>
    </row>
    <row r="185" spans="1:10" ht="18" customHeight="1" thickTop="1">
      <c r="A185" s="47"/>
      <c r="B185" s="45"/>
      <c r="D185" s="48"/>
      <c r="F185" s="48"/>
      <c r="H185" s="48"/>
      <c r="J185" s="48"/>
    </row>
    <row r="186" spans="1:10" ht="18" customHeight="1">
      <c r="A186" s="47" t="s">
        <v>136</v>
      </c>
      <c r="B186" s="45"/>
      <c r="D186" s="48"/>
      <c r="F186" s="48"/>
      <c r="H186" s="48"/>
      <c r="J186" s="48"/>
    </row>
    <row r="187" spans="1:10" ht="18" customHeight="1" thickBot="1">
      <c r="A187" s="47" t="s">
        <v>144</v>
      </c>
      <c r="B187" s="45"/>
      <c r="D187" s="55">
        <v>8057.16</v>
      </c>
      <c r="F187" s="55">
        <v>8816</v>
      </c>
      <c r="H187" s="55">
        <v>8057.16</v>
      </c>
      <c r="J187" s="55">
        <v>8816</v>
      </c>
    </row>
    <row r="188" ht="18" customHeight="1" thickTop="1">
      <c r="A188" s="69"/>
    </row>
    <row r="189" ht="18" customHeight="1">
      <c r="A189" s="27" t="s">
        <v>8</v>
      </c>
    </row>
    <row r="190" spans="1:12" ht="18" customHeight="1">
      <c r="A190" s="76" t="s">
        <v>0</v>
      </c>
      <c r="B190" s="76"/>
      <c r="C190" s="76"/>
      <c r="D190" s="76"/>
      <c r="E190" s="76"/>
      <c r="F190" s="76"/>
      <c r="G190" s="76"/>
      <c r="H190" s="76"/>
      <c r="I190" s="76"/>
      <c r="J190" s="76"/>
      <c r="L190" s="26"/>
    </row>
    <row r="191" spans="1:10" ht="18" customHeight="1">
      <c r="A191" s="77" t="s">
        <v>16</v>
      </c>
      <c r="B191" s="77"/>
      <c r="C191" s="77"/>
      <c r="D191" s="77"/>
      <c r="E191" s="77"/>
      <c r="F191" s="77"/>
      <c r="G191" s="77"/>
      <c r="H191" s="77"/>
      <c r="I191" s="77"/>
      <c r="J191" s="77"/>
    </row>
    <row r="192" spans="1:10" ht="18" customHeight="1">
      <c r="A192" s="77" t="s">
        <v>186</v>
      </c>
      <c r="B192" s="77"/>
      <c r="C192" s="77"/>
      <c r="D192" s="77"/>
      <c r="E192" s="77"/>
      <c r="F192" s="77"/>
      <c r="G192" s="77"/>
      <c r="H192" s="77"/>
      <c r="I192" s="77"/>
      <c r="J192" s="77"/>
    </row>
    <row r="193" spans="2:10" ht="18" customHeight="1">
      <c r="B193" s="29"/>
      <c r="H193" s="31"/>
      <c r="J193" s="32" t="s">
        <v>146</v>
      </c>
    </row>
    <row r="194" spans="4:10" ht="18" customHeight="1">
      <c r="D194" s="33"/>
      <c r="E194" s="33" t="s">
        <v>2</v>
      </c>
      <c r="F194" s="33"/>
      <c r="G194" s="34"/>
      <c r="H194" s="33"/>
      <c r="I194" s="33" t="s">
        <v>3</v>
      </c>
      <c r="J194" s="33"/>
    </row>
    <row r="195" spans="2:11" s="35" customFormat="1" ht="18" customHeight="1">
      <c r="B195" s="36"/>
      <c r="D195" s="57">
        <v>2004</v>
      </c>
      <c r="E195" s="58"/>
      <c r="F195" s="57">
        <v>2003</v>
      </c>
      <c r="H195" s="57">
        <v>2004</v>
      </c>
      <c r="I195" s="58"/>
      <c r="J195" s="57">
        <v>2003</v>
      </c>
      <c r="K195" s="40"/>
    </row>
    <row r="196" spans="1:12" ht="18" customHeight="1">
      <c r="A196" s="70" t="s">
        <v>17</v>
      </c>
      <c r="K196" s="61"/>
      <c r="L196" s="25"/>
    </row>
    <row r="197" spans="1:12" ht="18" customHeight="1">
      <c r="A197" s="27" t="s">
        <v>173</v>
      </c>
      <c r="D197" s="30">
        <f>D181</f>
        <v>-270740</v>
      </c>
      <c r="F197" s="30">
        <f>F181</f>
        <v>22665</v>
      </c>
      <c r="H197" s="30">
        <f>H181</f>
        <v>-270740</v>
      </c>
      <c r="J197" s="30">
        <f>J181</f>
        <v>22665</v>
      </c>
      <c r="K197" s="61"/>
      <c r="L197" s="25"/>
    </row>
    <row r="198" spans="1:12" ht="18" customHeight="1">
      <c r="A198" s="27" t="s">
        <v>72</v>
      </c>
      <c r="K198" s="61"/>
      <c r="L198" s="25"/>
    </row>
    <row r="199" spans="1:12" ht="18" customHeight="1">
      <c r="A199" s="27" t="s">
        <v>18</v>
      </c>
      <c r="K199" s="61"/>
      <c r="L199" s="25"/>
    </row>
    <row r="200" spans="1:12" ht="18" customHeight="1">
      <c r="A200" s="27" t="s">
        <v>174</v>
      </c>
      <c r="D200" s="46">
        <v>10603</v>
      </c>
      <c r="F200" s="46" t="s">
        <v>6</v>
      </c>
      <c r="H200" s="46" t="s">
        <v>6</v>
      </c>
      <c r="J200" s="46" t="s">
        <v>6</v>
      </c>
      <c r="K200" s="61"/>
      <c r="L200" s="25"/>
    </row>
    <row r="201" spans="1:12" ht="18" customHeight="1">
      <c r="A201" s="27" t="s">
        <v>115</v>
      </c>
      <c r="D201" s="30">
        <f>106976+10843+19905</f>
        <v>137724</v>
      </c>
      <c r="F201" s="30">
        <v>25317</v>
      </c>
      <c r="H201" s="30">
        <v>8521</v>
      </c>
      <c r="J201" s="30">
        <v>8295</v>
      </c>
      <c r="K201" s="61"/>
      <c r="L201" s="25"/>
    </row>
    <row r="202" spans="1:12" ht="18" customHeight="1">
      <c r="A202" s="27" t="s">
        <v>73</v>
      </c>
      <c r="D202" s="30">
        <v>221364</v>
      </c>
      <c r="F202" s="30">
        <v>336202</v>
      </c>
      <c r="H202" s="30">
        <v>221364</v>
      </c>
      <c r="J202" s="30">
        <v>336202</v>
      </c>
      <c r="K202" s="61"/>
      <c r="L202" s="25"/>
    </row>
    <row r="203" spans="1:12" ht="18" customHeight="1">
      <c r="A203" s="27" t="s">
        <v>189</v>
      </c>
      <c r="D203" s="44" t="s">
        <v>6</v>
      </c>
      <c r="F203" s="30">
        <v>262</v>
      </c>
      <c r="H203" s="46" t="s">
        <v>6</v>
      </c>
      <c r="J203" s="30">
        <v>262</v>
      </c>
      <c r="K203" s="61"/>
      <c r="L203" s="25"/>
    </row>
    <row r="204" spans="1:12" ht="18" customHeight="1">
      <c r="A204" s="27" t="s">
        <v>182</v>
      </c>
      <c r="D204" s="46">
        <v>-83</v>
      </c>
      <c r="F204" s="46">
        <v>-41</v>
      </c>
      <c r="H204" s="46">
        <v>-58</v>
      </c>
      <c r="J204" s="46">
        <v>-41</v>
      </c>
      <c r="K204" s="61"/>
      <c r="L204" s="25"/>
    </row>
    <row r="205" spans="1:12" ht="18" customHeight="1">
      <c r="A205" s="27" t="s">
        <v>209</v>
      </c>
      <c r="D205" s="46">
        <v>-6897</v>
      </c>
      <c r="F205" s="46" t="s">
        <v>6</v>
      </c>
      <c r="H205" s="46">
        <v>-6897</v>
      </c>
      <c r="J205" s="46" t="s">
        <v>6</v>
      </c>
      <c r="K205" s="61"/>
      <c r="L205" s="25"/>
    </row>
    <row r="206" spans="1:12" ht="18" customHeight="1">
      <c r="A206" s="27" t="s">
        <v>130</v>
      </c>
      <c r="D206" s="32">
        <v>68842</v>
      </c>
      <c r="E206" s="30">
        <v>57440</v>
      </c>
      <c r="F206" s="32">
        <v>2001</v>
      </c>
      <c r="H206" s="32">
        <v>153284</v>
      </c>
      <c r="J206" s="32">
        <v>28439</v>
      </c>
      <c r="K206" s="61"/>
      <c r="L206" s="25"/>
    </row>
    <row r="207" spans="1:12" ht="18" customHeight="1">
      <c r="A207" s="27" t="s">
        <v>131</v>
      </c>
      <c r="D207" s="54">
        <v>-79624</v>
      </c>
      <c r="F207" s="54">
        <v>-52257</v>
      </c>
      <c r="H207" s="54">
        <v>-39127</v>
      </c>
      <c r="J207" s="54">
        <v>-52257</v>
      </c>
      <c r="K207" s="61"/>
      <c r="L207" s="25"/>
    </row>
    <row r="208" spans="4:12" ht="16.5" customHeight="1">
      <c r="D208" s="30">
        <f>SUM(D197:D207)</f>
        <v>81189</v>
      </c>
      <c r="F208" s="30">
        <f>SUM(F197:F207)</f>
        <v>334149</v>
      </c>
      <c r="G208" s="46"/>
      <c r="H208" s="30">
        <f>SUM(H197:H207)</f>
        <v>66347</v>
      </c>
      <c r="J208" s="30">
        <f>SUM(J197:J207)</f>
        <v>343565</v>
      </c>
      <c r="K208" s="61"/>
      <c r="L208" s="25"/>
    </row>
    <row r="209" spans="1:12" ht="17.25" customHeight="1">
      <c r="A209" s="27" t="s">
        <v>19</v>
      </c>
      <c r="G209" s="46"/>
      <c r="K209" s="61"/>
      <c r="L209" s="25"/>
    </row>
    <row r="210" spans="1:12" ht="18" customHeight="1">
      <c r="A210" s="27" t="s">
        <v>122</v>
      </c>
      <c r="D210" s="30">
        <f>11184+21041</f>
        <v>32225</v>
      </c>
      <c r="F210" s="30">
        <v>-4006</v>
      </c>
      <c r="G210" s="46"/>
      <c r="H210" s="30">
        <v>-774</v>
      </c>
      <c r="J210" s="30">
        <v>-668</v>
      </c>
      <c r="K210" s="61"/>
      <c r="L210" s="25"/>
    </row>
    <row r="211" spans="1:12" ht="18" customHeight="1">
      <c r="A211" s="27" t="s">
        <v>116</v>
      </c>
      <c r="D211" s="46">
        <f>-7172-8225</f>
        <v>-15397</v>
      </c>
      <c r="F211" s="46" t="s">
        <v>6</v>
      </c>
      <c r="G211" s="46"/>
      <c r="H211" s="46">
        <v>-1089</v>
      </c>
      <c r="J211" s="46" t="s">
        <v>6</v>
      </c>
      <c r="K211" s="61"/>
      <c r="L211" s="25"/>
    </row>
    <row r="212" spans="1:12" ht="18" customHeight="1">
      <c r="A212" s="27" t="s">
        <v>49</v>
      </c>
      <c r="D212" s="46">
        <f>1216-3538</f>
        <v>-2322</v>
      </c>
      <c r="F212" s="46" t="s">
        <v>6</v>
      </c>
      <c r="H212" s="46" t="s">
        <v>6</v>
      </c>
      <c r="J212" s="46" t="s">
        <v>6</v>
      </c>
      <c r="K212" s="61"/>
      <c r="L212" s="25"/>
    </row>
    <row r="213" spans="1:12" ht="18" customHeight="1">
      <c r="A213" s="27" t="s">
        <v>20</v>
      </c>
      <c r="D213" s="30">
        <f>44756+3633</f>
        <v>48389</v>
      </c>
      <c r="F213" s="30">
        <v>-26601</v>
      </c>
      <c r="H213" s="30">
        <v>1650</v>
      </c>
      <c r="J213" s="30">
        <v>-3131</v>
      </c>
      <c r="K213" s="61"/>
      <c r="L213" s="25"/>
    </row>
    <row r="214" spans="1:12" ht="18" customHeight="1">
      <c r="A214" s="27" t="s">
        <v>21</v>
      </c>
      <c r="K214" s="61"/>
      <c r="L214" s="25"/>
    </row>
    <row r="215" spans="1:12" ht="18" customHeight="1">
      <c r="A215" s="27" t="s">
        <v>210</v>
      </c>
      <c r="D215" s="30">
        <f>-3667-32173+57557-42251</f>
        <v>-20534</v>
      </c>
      <c r="F215" s="30">
        <v>24900</v>
      </c>
      <c r="H215" s="30">
        <v>-4323</v>
      </c>
      <c r="J215" s="30">
        <v>4268</v>
      </c>
      <c r="K215" s="61"/>
      <c r="L215" s="25"/>
    </row>
    <row r="216" spans="1:12" ht="18" customHeight="1">
      <c r="A216" s="27" t="s">
        <v>211</v>
      </c>
      <c r="D216" s="30">
        <v>42251</v>
      </c>
      <c r="F216" s="44" t="s">
        <v>6</v>
      </c>
      <c r="H216" s="44" t="s">
        <v>6</v>
      </c>
      <c r="J216" s="44" t="s">
        <v>6</v>
      </c>
      <c r="K216" s="61"/>
      <c r="L216" s="25"/>
    </row>
    <row r="217" spans="1:12" ht="18" customHeight="1">
      <c r="A217" s="27" t="s">
        <v>117</v>
      </c>
      <c r="D217" s="46">
        <f>-140106-148428</f>
        <v>-288534</v>
      </c>
      <c r="F217" s="46" t="s">
        <v>6</v>
      </c>
      <c r="H217" s="46">
        <v>838</v>
      </c>
      <c r="J217" s="46" t="s">
        <v>6</v>
      </c>
      <c r="K217" s="61"/>
      <c r="L217" s="25"/>
    </row>
    <row r="218" spans="1:12" ht="18" customHeight="1">
      <c r="A218" s="27" t="s">
        <v>118</v>
      </c>
      <c r="D218" s="46">
        <f>8657-3427-3328</f>
        <v>1902</v>
      </c>
      <c r="F218" s="46">
        <v>-295</v>
      </c>
      <c r="H218" s="46">
        <v>-7252</v>
      </c>
      <c r="J218" s="46">
        <v>-2948</v>
      </c>
      <c r="K218" s="61"/>
      <c r="L218" s="25"/>
    </row>
    <row r="219" spans="1:12" ht="18" customHeight="1">
      <c r="A219" s="27" t="s">
        <v>22</v>
      </c>
      <c r="D219" s="54">
        <f>-20960+16736</f>
        <v>-4224</v>
      </c>
      <c r="F219" s="54">
        <v>6977</v>
      </c>
      <c r="H219" s="54">
        <v>-1866</v>
      </c>
      <c r="J219" s="54">
        <v>-3265</v>
      </c>
      <c r="K219" s="61"/>
      <c r="L219" s="25"/>
    </row>
    <row r="220" spans="1:12" ht="18" customHeight="1">
      <c r="A220" s="27" t="s">
        <v>132</v>
      </c>
      <c r="D220" s="71">
        <f>SUM(D208:D219)</f>
        <v>-125055</v>
      </c>
      <c r="F220" s="71">
        <f>SUM(F208:F219)</f>
        <v>335124</v>
      </c>
      <c r="H220" s="71">
        <f>SUM(H208:H219)</f>
        <v>53531</v>
      </c>
      <c r="J220" s="71">
        <f>SUM(J208:J219)</f>
        <v>337821</v>
      </c>
      <c r="K220" s="27"/>
      <c r="L220" s="25"/>
    </row>
    <row r="221" spans="4:12" ht="20.25" customHeight="1">
      <c r="D221" s="49"/>
      <c r="E221" s="49"/>
      <c r="F221" s="49"/>
      <c r="G221" s="49"/>
      <c r="H221" s="49"/>
      <c r="I221" s="49"/>
      <c r="J221" s="49"/>
      <c r="K221" s="27"/>
      <c r="L221" s="25"/>
    </row>
    <row r="222" ht="18" customHeight="1">
      <c r="A222" s="27" t="s">
        <v>8</v>
      </c>
    </row>
    <row r="223" spans="1:12" ht="18" customHeight="1">
      <c r="A223" s="76" t="s">
        <v>0</v>
      </c>
      <c r="B223" s="76"/>
      <c r="C223" s="76"/>
      <c r="D223" s="76"/>
      <c r="E223" s="76"/>
      <c r="F223" s="76"/>
      <c r="G223" s="76"/>
      <c r="H223" s="76"/>
      <c r="I223" s="76"/>
      <c r="J223" s="76"/>
      <c r="L223" s="26"/>
    </row>
    <row r="224" spans="1:10" ht="18" customHeight="1">
      <c r="A224" s="77" t="s">
        <v>23</v>
      </c>
      <c r="B224" s="77"/>
      <c r="C224" s="77"/>
      <c r="D224" s="77"/>
      <c r="E224" s="77"/>
      <c r="F224" s="77"/>
      <c r="G224" s="77"/>
      <c r="H224" s="77"/>
      <c r="I224" s="77"/>
      <c r="J224" s="77"/>
    </row>
    <row r="225" spans="1:10" ht="18" customHeight="1">
      <c r="A225" s="77" t="s">
        <v>186</v>
      </c>
      <c r="B225" s="77"/>
      <c r="C225" s="77"/>
      <c r="D225" s="77"/>
      <c r="E225" s="77"/>
      <c r="F225" s="77"/>
      <c r="G225" s="77"/>
      <c r="H225" s="77"/>
      <c r="I225" s="77"/>
      <c r="J225" s="77"/>
    </row>
    <row r="226" spans="2:10" ht="18" customHeight="1">
      <c r="B226" s="29"/>
      <c r="H226" s="31"/>
      <c r="J226" s="32" t="s">
        <v>146</v>
      </c>
    </row>
    <row r="227" spans="4:10" ht="18" customHeight="1">
      <c r="D227" s="33"/>
      <c r="E227" s="33" t="s">
        <v>2</v>
      </c>
      <c r="F227" s="33"/>
      <c r="G227" s="34"/>
      <c r="H227" s="33"/>
      <c r="I227" s="33" t="s">
        <v>3</v>
      </c>
      <c r="J227" s="33"/>
    </row>
    <row r="228" spans="2:11" s="35" customFormat="1" ht="18" customHeight="1">
      <c r="B228" s="36"/>
      <c r="D228" s="57">
        <v>2004</v>
      </c>
      <c r="E228" s="58"/>
      <c r="F228" s="57">
        <v>2003</v>
      </c>
      <c r="H228" s="57">
        <v>2004</v>
      </c>
      <c r="I228" s="58"/>
      <c r="J228" s="57">
        <v>2003</v>
      </c>
      <c r="K228" s="40"/>
    </row>
    <row r="229" spans="1:12" ht="18" customHeight="1">
      <c r="A229" s="70" t="s">
        <v>41</v>
      </c>
      <c r="K229" s="27"/>
      <c r="L229" s="25"/>
    </row>
    <row r="230" spans="1:12" ht="18" customHeight="1">
      <c r="A230" s="47" t="s">
        <v>219</v>
      </c>
      <c r="D230" s="46">
        <f>16981-27998</f>
        <v>-11017</v>
      </c>
      <c r="F230" s="46" t="s">
        <v>6</v>
      </c>
      <c r="H230" s="46">
        <f>-8218</f>
        <v>-8218</v>
      </c>
      <c r="J230" s="46" t="s">
        <v>6</v>
      </c>
      <c r="K230" s="27"/>
      <c r="L230" s="25"/>
    </row>
    <row r="231" spans="1:12" ht="18" customHeight="1">
      <c r="A231" s="27" t="s">
        <v>183</v>
      </c>
      <c r="D231" s="30">
        <f>-2598-176-221364+13177</f>
        <v>-210961</v>
      </c>
      <c r="F231" s="30">
        <v>-378189</v>
      </c>
      <c r="H231" s="30">
        <f>-1486794</f>
        <v>-1486794</v>
      </c>
      <c r="J231" s="30">
        <v>-603073</v>
      </c>
      <c r="K231" s="61"/>
      <c r="L231" s="25"/>
    </row>
    <row r="232" spans="1:12" ht="18" customHeight="1">
      <c r="A232" s="27" t="s">
        <v>119</v>
      </c>
      <c r="D232" s="46">
        <f>-(253754+999+25000+17106+248100)</f>
        <v>-544959</v>
      </c>
      <c r="F232" s="46" t="s">
        <v>6</v>
      </c>
      <c r="H232" s="44">
        <v>-1174959</v>
      </c>
      <c r="J232" s="44">
        <v>-1243440</v>
      </c>
      <c r="K232" s="27"/>
      <c r="L232" s="25"/>
    </row>
    <row r="233" spans="1:12" ht="18" customHeight="1">
      <c r="A233" s="27" t="s">
        <v>120</v>
      </c>
      <c r="D233" s="44">
        <v>-754047</v>
      </c>
      <c r="F233" s="44">
        <v>-1668318</v>
      </c>
      <c r="H233" s="72">
        <v>-800369</v>
      </c>
      <c r="J233" s="72">
        <v>-1568318</v>
      </c>
      <c r="K233" s="27"/>
      <c r="L233" s="25"/>
    </row>
    <row r="234" spans="1:12" ht="18" customHeight="1">
      <c r="A234" s="27" t="s">
        <v>214</v>
      </c>
      <c r="D234" s="72">
        <v>-599968</v>
      </c>
      <c r="F234" s="75" t="s">
        <v>6</v>
      </c>
      <c r="H234" s="75" t="s">
        <v>6</v>
      </c>
      <c r="J234" s="75" t="s">
        <v>6</v>
      </c>
      <c r="K234" s="27"/>
      <c r="L234" s="25"/>
    </row>
    <row r="235" spans="1:12" ht="18" customHeight="1">
      <c r="A235" s="27" t="s">
        <v>165</v>
      </c>
      <c r="D235" s="72">
        <f>-740001-12750</f>
        <v>-752751</v>
      </c>
      <c r="F235" s="75" t="s">
        <v>6</v>
      </c>
      <c r="H235" s="46">
        <f>-740001-12750</f>
        <v>-752751</v>
      </c>
      <c r="J235" s="75" t="s">
        <v>6</v>
      </c>
      <c r="K235" s="27"/>
      <c r="L235" s="25"/>
    </row>
    <row r="236" spans="1:12" ht="18" customHeight="1">
      <c r="A236" s="27" t="s">
        <v>215</v>
      </c>
      <c r="D236" s="72">
        <v>550000</v>
      </c>
      <c r="F236" s="75" t="s">
        <v>6</v>
      </c>
      <c r="H236" s="46">
        <v>550000</v>
      </c>
      <c r="J236" s="75" t="s">
        <v>6</v>
      </c>
      <c r="K236" s="27"/>
      <c r="L236" s="25"/>
    </row>
    <row r="237" spans="1:12" ht="18" customHeight="1">
      <c r="A237" s="27" t="s">
        <v>175</v>
      </c>
      <c r="D237" s="72">
        <v>57860</v>
      </c>
      <c r="F237" s="75" t="s">
        <v>6</v>
      </c>
      <c r="H237" s="46">
        <v>57860</v>
      </c>
      <c r="J237" s="46" t="s">
        <v>6</v>
      </c>
      <c r="K237" s="27"/>
      <c r="L237" s="25"/>
    </row>
    <row r="238" spans="1:12" ht="18" customHeight="1">
      <c r="A238" s="27" t="s">
        <v>134</v>
      </c>
      <c r="D238" s="44">
        <v>751</v>
      </c>
      <c r="F238" s="44">
        <v>287</v>
      </c>
      <c r="H238" s="44">
        <v>751</v>
      </c>
      <c r="J238" s="44">
        <v>287</v>
      </c>
      <c r="K238" s="27"/>
      <c r="L238" s="25"/>
    </row>
    <row r="239" spans="1:12" ht="18" customHeight="1">
      <c r="A239" s="27" t="s">
        <v>190</v>
      </c>
      <c r="D239" s="44">
        <v>-652965</v>
      </c>
      <c r="F239" s="44">
        <v>-344282</v>
      </c>
      <c r="H239" s="46" t="s">
        <v>6</v>
      </c>
      <c r="J239" s="46" t="s">
        <v>6</v>
      </c>
      <c r="K239" s="27"/>
      <c r="L239" s="25"/>
    </row>
    <row r="240" spans="1:12" ht="18" customHeight="1">
      <c r="A240" s="27" t="s">
        <v>191</v>
      </c>
      <c r="D240" s="44" t="s">
        <v>6</v>
      </c>
      <c r="F240" s="44">
        <v>-400000</v>
      </c>
      <c r="H240" s="44" t="s">
        <v>6</v>
      </c>
      <c r="J240" s="44">
        <v>-400000</v>
      </c>
      <c r="K240" s="27"/>
      <c r="L240" s="25"/>
    </row>
    <row r="241" spans="1:12" ht="18" customHeight="1">
      <c r="A241" s="27" t="s">
        <v>212</v>
      </c>
      <c r="D241" s="30">
        <v>-516997</v>
      </c>
      <c r="F241" s="30">
        <v>-417035</v>
      </c>
      <c r="H241" s="30">
        <f>-7404-1</f>
        <v>-7405</v>
      </c>
      <c r="J241" s="30">
        <v>-2889</v>
      </c>
      <c r="K241" s="27"/>
      <c r="L241" s="25"/>
    </row>
    <row r="242" spans="1:12" ht="18" customHeight="1">
      <c r="A242" s="27" t="s">
        <v>121</v>
      </c>
      <c r="D242" s="44">
        <v>-28994</v>
      </c>
      <c r="F242" s="44">
        <v>-1049050</v>
      </c>
      <c r="H242" s="46" t="s">
        <v>6</v>
      </c>
      <c r="J242" s="46" t="s">
        <v>6</v>
      </c>
      <c r="K242" s="27"/>
      <c r="L242" s="25"/>
    </row>
    <row r="243" spans="1:12" ht="18" customHeight="1">
      <c r="A243" s="27" t="s">
        <v>213</v>
      </c>
      <c r="D243" s="30">
        <f>-58424+14554+4063</f>
        <v>-39807</v>
      </c>
      <c r="F243" s="30">
        <v>-24819</v>
      </c>
      <c r="H243" s="30">
        <v>-739</v>
      </c>
      <c r="J243" s="30">
        <v>-813</v>
      </c>
      <c r="K243" s="27"/>
      <c r="L243" s="25"/>
    </row>
    <row r="244" spans="1:12" ht="18" customHeight="1">
      <c r="A244" s="27" t="s">
        <v>133</v>
      </c>
      <c r="D244" s="71">
        <f>SUM(D230:D243)</f>
        <v>-3503855</v>
      </c>
      <c r="E244" s="49"/>
      <c r="F244" s="71">
        <f>SUM(F230:F243)</f>
        <v>-4281406</v>
      </c>
      <c r="G244" s="49"/>
      <c r="H244" s="71">
        <f>SUM(H230:H243)</f>
        <v>-3622624</v>
      </c>
      <c r="I244" s="49"/>
      <c r="J244" s="71">
        <f>SUM(J230:J243)</f>
        <v>-3818246</v>
      </c>
      <c r="K244" s="27"/>
      <c r="L244" s="25"/>
    </row>
    <row r="245" spans="1:12" ht="18" customHeight="1">
      <c r="A245" s="70" t="s">
        <v>42</v>
      </c>
      <c r="K245" s="61"/>
      <c r="L245" s="25"/>
    </row>
    <row r="246" spans="1:12" ht="18" customHeight="1">
      <c r="A246" s="27" t="s">
        <v>145</v>
      </c>
      <c r="D246" s="44">
        <f>1520759-28309</f>
        <v>1492450</v>
      </c>
      <c r="F246" s="44">
        <v>209743</v>
      </c>
      <c r="H246" s="44">
        <v>1799375</v>
      </c>
      <c r="J246" s="46" t="s">
        <v>6</v>
      </c>
      <c r="K246" s="61"/>
      <c r="L246" s="25"/>
    </row>
    <row r="247" spans="1:12" ht="18" customHeight="1">
      <c r="A247" s="27" t="s">
        <v>217</v>
      </c>
      <c r="D247" s="27"/>
      <c r="F247" s="27"/>
      <c r="G247" s="27"/>
      <c r="H247" s="44"/>
      <c r="I247" s="27"/>
      <c r="J247" s="27"/>
      <c r="K247" s="61"/>
      <c r="L247" s="25"/>
    </row>
    <row r="248" spans="1:12" ht="18" customHeight="1">
      <c r="A248" s="27" t="s">
        <v>216</v>
      </c>
      <c r="D248" s="44">
        <f>113250+101492</f>
        <v>214742</v>
      </c>
      <c r="F248" s="44">
        <v>57891</v>
      </c>
      <c r="H248" s="44">
        <v>-113234</v>
      </c>
      <c r="J248" s="44">
        <v>366363</v>
      </c>
      <c r="K248" s="61"/>
      <c r="L248" s="25"/>
    </row>
    <row r="249" spans="1:12" ht="18" customHeight="1">
      <c r="A249" s="27" t="s">
        <v>192</v>
      </c>
      <c r="D249" s="44" t="s">
        <v>6</v>
      </c>
      <c r="F249" s="44">
        <v>894</v>
      </c>
      <c r="H249" s="46" t="s">
        <v>6</v>
      </c>
      <c r="J249" s="46" t="s">
        <v>6</v>
      </c>
      <c r="K249" s="61"/>
      <c r="L249" s="25"/>
    </row>
    <row r="250" spans="1:12" ht="18" customHeight="1">
      <c r="A250" s="27" t="s">
        <v>193</v>
      </c>
      <c r="D250" s="44" t="s">
        <v>6</v>
      </c>
      <c r="F250" s="44">
        <v>440000</v>
      </c>
      <c r="H250" s="46" t="s">
        <v>6</v>
      </c>
      <c r="J250" s="46" t="s">
        <v>6</v>
      </c>
      <c r="K250" s="61"/>
      <c r="L250" s="25"/>
    </row>
    <row r="251" spans="1:12" ht="18" customHeight="1">
      <c r="A251" s="27" t="s">
        <v>123</v>
      </c>
      <c r="D251" s="46">
        <f>-3300-3300</f>
        <v>-6600</v>
      </c>
      <c r="F251" s="46" t="s">
        <v>6</v>
      </c>
      <c r="H251" s="46" t="s">
        <v>6</v>
      </c>
      <c r="J251" s="46" t="s">
        <v>6</v>
      </c>
      <c r="K251" s="61"/>
      <c r="L251" s="25"/>
    </row>
    <row r="252" spans="1:12" ht="18" customHeight="1">
      <c r="A252" s="27" t="s">
        <v>113</v>
      </c>
      <c r="D252" s="46">
        <f>144125-59033</f>
        <v>85092</v>
      </c>
      <c r="F252" s="46">
        <v>150249</v>
      </c>
      <c r="H252" s="46" t="s">
        <v>6</v>
      </c>
      <c r="J252" s="46" t="s">
        <v>6</v>
      </c>
      <c r="K252" s="61"/>
      <c r="L252" s="25"/>
    </row>
    <row r="253" spans="1:12" ht="18" customHeight="1">
      <c r="A253" s="27" t="s">
        <v>66</v>
      </c>
      <c r="D253" s="44" t="s">
        <v>6</v>
      </c>
      <c r="F253" s="30">
        <v>-12259</v>
      </c>
      <c r="H253" s="46" t="s">
        <v>6</v>
      </c>
      <c r="J253" s="30">
        <v>-12259</v>
      </c>
      <c r="K253" s="61"/>
      <c r="L253" s="25"/>
    </row>
    <row r="254" spans="1:12" ht="18" customHeight="1">
      <c r="A254" s="27" t="s">
        <v>65</v>
      </c>
      <c r="D254" s="44" t="s">
        <v>6</v>
      </c>
      <c r="F254" s="30">
        <v>3922501</v>
      </c>
      <c r="H254" s="54" t="s">
        <v>6</v>
      </c>
      <c r="J254" s="30">
        <v>3922501</v>
      </c>
      <c r="K254" s="61"/>
      <c r="L254" s="25"/>
    </row>
    <row r="255" spans="1:12" ht="18" customHeight="1">
      <c r="A255" s="27" t="s">
        <v>135</v>
      </c>
      <c r="D255" s="71">
        <f>SUM(D246:D254)</f>
        <v>1785684</v>
      </c>
      <c r="E255" s="49"/>
      <c r="F255" s="71">
        <f>SUM(F246:F254)</f>
        <v>4769019</v>
      </c>
      <c r="H255" s="71">
        <f>SUM(H246:H254)</f>
        <v>1686141</v>
      </c>
      <c r="I255" s="49"/>
      <c r="J255" s="71">
        <f>SUM(J246:J254)</f>
        <v>4276605</v>
      </c>
      <c r="K255" s="61"/>
      <c r="L255" s="25"/>
    </row>
    <row r="256" spans="1:12" ht="18" customHeight="1">
      <c r="A256" s="27" t="s">
        <v>218</v>
      </c>
      <c r="D256" s="49">
        <f>D220+D244+D255</f>
        <v>-1843226</v>
      </c>
      <c r="E256" s="49"/>
      <c r="F256" s="49">
        <f>F220+F244+F255</f>
        <v>822737</v>
      </c>
      <c r="H256" s="49">
        <f>H220+H244+H255</f>
        <v>-1882952</v>
      </c>
      <c r="I256" s="49"/>
      <c r="J256" s="49">
        <f>J220+J244+J255</f>
        <v>796180</v>
      </c>
      <c r="K256" s="61"/>
      <c r="L256" s="25"/>
    </row>
    <row r="257" spans="1:12" ht="18" customHeight="1">
      <c r="A257" s="27" t="s">
        <v>152</v>
      </c>
      <c r="D257" s="49">
        <v>2106164</v>
      </c>
      <c r="E257" s="49"/>
      <c r="F257" s="49">
        <v>23278</v>
      </c>
      <c r="H257" s="49">
        <v>2012699</v>
      </c>
      <c r="J257" s="49">
        <v>23012</v>
      </c>
      <c r="K257" s="61"/>
      <c r="L257" s="25"/>
    </row>
    <row r="258" spans="1:12" ht="18" customHeight="1" thickBot="1">
      <c r="A258" s="27" t="s">
        <v>178</v>
      </c>
      <c r="D258" s="73">
        <f>SUM(D256:D257)</f>
        <v>262938</v>
      </c>
      <c r="E258" s="49"/>
      <c r="F258" s="73">
        <f>SUM(F256:F257)</f>
        <v>846015</v>
      </c>
      <c r="H258" s="73">
        <f>SUM(H256:H257)</f>
        <v>129747</v>
      </c>
      <c r="I258" s="49"/>
      <c r="J258" s="73">
        <f>SUM(J256:J257)</f>
        <v>819192</v>
      </c>
      <c r="K258" s="61"/>
      <c r="L258" s="25"/>
    </row>
    <row r="259" spans="11:12" ht="18" customHeight="1" thickTop="1">
      <c r="K259" s="61"/>
      <c r="L259" s="25"/>
    </row>
    <row r="260" ht="18" customHeight="1">
      <c r="A260" s="27" t="s">
        <v>8</v>
      </c>
    </row>
    <row r="261" spans="1:12" ht="18" customHeight="1">
      <c r="A261" s="76" t="s">
        <v>0</v>
      </c>
      <c r="B261" s="76"/>
      <c r="C261" s="76"/>
      <c r="D261" s="76"/>
      <c r="E261" s="76"/>
      <c r="F261" s="76"/>
      <c r="G261" s="76"/>
      <c r="H261" s="76"/>
      <c r="I261" s="76"/>
      <c r="J261" s="76"/>
      <c r="L261" s="26"/>
    </row>
    <row r="262" spans="1:10" ht="18" customHeight="1">
      <c r="A262" s="77" t="s">
        <v>23</v>
      </c>
      <c r="B262" s="77"/>
      <c r="C262" s="77"/>
      <c r="D262" s="77"/>
      <c r="E262" s="77"/>
      <c r="F262" s="77"/>
      <c r="G262" s="77"/>
      <c r="H262" s="77"/>
      <c r="I262" s="77"/>
      <c r="J262" s="77"/>
    </row>
    <row r="263" spans="1:10" ht="18" customHeight="1">
      <c r="A263" s="77" t="s">
        <v>186</v>
      </c>
      <c r="B263" s="77"/>
      <c r="C263" s="77"/>
      <c r="D263" s="77"/>
      <c r="E263" s="77"/>
      <c r="F263" s="77"/>
      <c r="G263" s="77"/>
      <c r="H263" s="77"/>
      <c r="I263" s="77"/>
      <c r="J263" s="77"/>
    </row>
    <row r="264" spans="2:10" ht="18" customHeight="1">
      <c r="B264" s="29"/>
      <c r="H264" s="31"/>
      <c r="J264" s="32" t="s">
        <v>146</v>
      </c>
    </row>
    <row r="265" spans="4:10" ht="18" customHeight="1">
      <c r="D265" s="33"/>
      <c r="E265" s="33" t="s">
        <v>2</v>
      </c>
      <c r="F265" s="33"/>
      <c r="G265" s="34"/>
      <c r="H265" s="33"/>
      <c r="I265" s="33" t="s">
        <v>3</v>
      </c>
      <c r="J265" s="33"/>
    </row>
    <row r="266" spans="2:11" s="35" customFormat="1" ht="18" customHeight="1">
      <c r="B266" s="36"/>
      <c r="D266" s="57">
        <v>2004</v>
      </c>
      <c r="E266" s="58"/>
      <c r="F266" s="57">
        <v>2003</v>
      </c>
      <c r="H266" s="57">
        <v>2004</v>
      </c>
      <c r="I266" s="58"/>
      <c r="J266" s="57">
        <v>2003</v>
      </c>
      <c r="K266" s="40"/>
    </row>
    <row r="267" spans="1:12" ht="18" customHeight="1">
      <c r="A267" s="27" t="s">
        <v>24</v>
      </c>
      <c r="K267" s="61"/>
      <c r="L267" s="25"/>
    </row>
    <row r="268" spans="1:12" ht="18" customHeight="1">
      <c r="A268" s="27" t="s">
        <v>153</v>
      </c>
      <c r="K268" s="61"/>
      <c r="L268" s="25"/>
    </row>
    <row r="269" spans="1:12" ht="18" customHeight="1">
      <c r="A269" s="27" t="s">
        <v>25</v>
      </c>
      <c r="D269" s="30">
        <f>128737+45220</f>
        <v>173957</v>
      </c>
      <c r="F269" s="30">
        <v>16627</v>
      </c>
      <c r="H269" s="30">
        <v>113845</v>
      </c>
      <c r="J269" s="30">
        <v>10685</v>
      </c>
      <c r="K269" s="61"/>
      <c r="L269" s="25"/>
    </row>
    <row r="270" spans="1:12" ht="18" customHeight="1">
      <c r="A270" s="27" t="s">
        <v>26</v>
      </c>
      <c r="D270" s="32">
        <v>17413</v>
      </c>
      <c r="F270" s="32">
        <v>300</v>
      </c>
      <c r="H270" s="44" t="s">
        <v>6</v>
      </c>
      <c r="J270" s="32">
        <v>300</v>
      </c>
      <c r="K270" s="61"/>
      <c r="L270" s="25"/>
    </row>
    <row r="271" spans="1:12" ht="18" customHeight="1">
      <c r="A271" s="27" t="s">
        <v>27</v>
      </c>
      <c r="K271" s="61"/>
      <c r="L271" s="25"/>
    </row>
    <row r="272" spans="1:10" ht="18" customHeight="1">
      <c r="A272" s="27" t="s">
        <v>74</v>
      </c>
      <c r="D272" s="46" t="s">
        <v>6</v>
      </c>
      <c r="F272" s="32">
        <v>392253505</v>
      </c>
      <c r="H272" s="46" t="s">
        <v>6</v>
      </c>
      <c r="J272" s="32">
        <v>392253505</v>
      </c>
    </row>
    <row r="273" spans="1:10" ht="18" customHeight="1">
      <c r="A273" s="27" t="s">
        <v>125</v>
      </c>
      <c r="D273" s="46" t="s">
        <v>6</v>
      </c>
      <c r="F273" s="44">
        <v>-3400</v>
      </c>
      <c r="H273" s="46" t="s">
        <v>6</v>
      </c>
      <c r="J273" s="44">
        <v>-3400</v>
      </c>
    </row>
    <row r="274" spans="1:10" ht="18" customHeight="1">
      <c r="A274" s="27" t="s">
        <v>160</v>
      </c>
      <c r="D274" s="44">
        <v>-604287000</v>
      </c>
      <c r="F274" s="46" t="s">
        <v>6</v>
      </c>
      <c r="H274" s="44">
        <v>-604287000</v>
      </c>
      <c r="J274" s="46" t="s">
        <v>6</v>
      </c>
    </row>
    <row r="275" spans="1:10" ht="18" customHeight="1">
      <c r="A275" s="27" t="s">
        <v>159</v>
      </c>
      <c r="D275" s="44">
        <v>604287000</v>
      </c>
      <c r="F275" s="46" t="s">
        <v>6</v>
      </c>
      <c r="H275" s="32">
        <v>604287000</v>
      </c>
      <c r="J275" s="46" t="s">
        <v>6</v>
      </c>
    </row>
    <row r="276" spans="1:10" ht="18" customHeight="1">
      <c r="A276" s="27" t="s">
        <v>67</v>
      </c>
      <c r="D276" s="46" t="s">
        <v>6</v>
      </c>
      <c r="F276" s="32">
        <v>388327604</v>
      </c>
      <c r="H276" s="46" t="s">
        <v>6</v>
      </c>
      <c r="J276" s="32">
        <v>388327604</v>
      </c>
    </row>
    <row r="277" spans="1:10" ht="18" customHeight="1">
      <c r="A277" s="27" t="s">
        <v>8</v>
      </c>
      <c r="D277" s="44"/>
      <c r="F277" s="44"/>
      <c r="J277" s="44"/>
    </row>
    <row r="278" ht="18" customHeight="1">
      <c r="D278" s="44"/>
    </row>
    <row r="279" ht="18" customHeight="1">
      <c r="D279" s="44"/>
    </row>
    <row r="280" ht="18" customHeight="1">
      <c r="D280" s="44"/>
    </row>
    <row r="281" ht="18" customHeight="1">
      <c r="D281" s="44"/>
    </row>
    <row r="282" ht="18" customHeight="1">
      <c r="D282" s="44"/>
    </row>
    <row r="283" ht="18" customHeight="1">
      <c r="D283" s="44"/>
    </row>
    <row r="284" ht="18" customHeight="1">
      <c r="D284" s="44"/>
    </row>
    <row r="285" ht="18" customHeight="1">
      <c r="D285" s="44"/>
    </row>
    <row r="286" ht="18" customHeight="1">
      <c r="D286" s="44"/>
    </row>
    <row r="287" ht="18" customHeight="1">
      <c r="D287" s="44"/>
    </row>
    <row r="288" ht="18" customHeight="1">
      <c r="D288" s="44"/>
    </row>
    <row r="289" ht="18" customHeight="1">
      <c r="D289" s="44"/>
    </row>
    <row r="290" ht="18" customHeight="1">
      <c r="D290" s="44"/>
    </row>
    <row r="291" ht="18" customHeight="1">
      <c r="D291" s="44"/>
    </row>
    <row r="292" ht="18" customHeight="1">
      <c r="D292" s="44"/>
    </row>
    <row r="293" ht="18" customHeight="1">
      <c r="D293" s="44"/>
    </row>
    <row r="294" ht="18" customHeight="1">
      <c r="D294" s="44"/>
    </row>
    <row r="295" ht="18" customHeight="1">
      <c r="D295" s="44"/>
    </row>
    <row r="296" ht="18" customHeight="1">
      <c r="D296" s="44"/>
    </row>
    <row r="297" ht="18" customHeight="1">
      <c r="D297" s="44"/>
    </row>
    <row r="298" ht="18" customHeight="1">
      <c r="D298" s="44"/>
    </row>
    <row r="299" ht="18" customHeight="1">
      <c r="D299" s="44"/>
    </row>
    <row r="300" ht="18" customHeight="1">
      <c r="D300" s="44"/>
    </row>
    <row r="301" ht="18" customHeight="1">
      <c r="D301" s="44"/>
    </row>
    <row r="302" ht="18" customHeight="1">
      <c r="D302" s="44"/>
    </row>
    <row r="303" ht="18" customHeight="1">
      <c r="D303" s="44"/>
    </row>
    <row r="304" ht="18" customHeight="1">
      <c r="D304" s="44"/>
    </row>
    <row r="305" ht="18" customHeight="1">
      <c r="D305" s="44"/>
    </row>
    <row r="306" ht="18" customHeight="1">
      <c r="D306" s="44"/>
    </row>
    <row r="307" ht="18" customHeight="1">
      <c r="D307" s="44"/>
    </row>
    <row r="308" ht="18" customHeight="1">
      <c r="D308" s="44"/>
    </row>
    <row r="309" ht="18" customHeight="1">
      <c r="D309" s="44"/>
    </row>
    <row r="310" ht="18" customHeight="1">
      <c r="D310" s="44"/>
    </row>
    <row r="311" ht="18" customHeight="1">
      <c r="D311" s="44"/>
    </row>
    <row r="312" ht="18" customHeight="1">
      <c r="D312" s="44"/>
    </row>
    <row r="313" ht="18" customHeight="1">
      <c r="D313" s="44"/>
    </row>
    <row r="314" ht="18" customHeight="1">
      <c r="D314" s="44"/>
    </row>
    <row r="315" ht="18" customHeight="1">
      <c r="D315" s="44"/>
    </row>
    <row r="316" ht="18" customHeight="1">
      <c r="D316" s="44"/>
    </row>
    <row r="317" ht="18" customHeight="1">
      <c r="D317" s="44"/>
    </row>
    <row r="318" ht="18" customHeight="1">
      <c r="D318" s="44"/>
    </row>
    <row r="319" ht="18" customHeight="1">
      <c r="D319" s="44"/>
    </row>
    <row r="320" ht="18" customHeight="1">
      <c r="D320" s="44"/>
    </row>
    <row r="321" ht="18" customHeight="1">
      <c r="D321" s="44"/>
    </row>
    <row r="322" ht="18" customHeight="1">
      <c r="D322" s="44"/>
    </row>
    <row r="323" ht="18" customHeight="1">
      <c r="D323" s="44"/>
    </row>
    <row r="324" ht="18" customHeight="1">
      <c r="D324" s="44"/>
    </row>
    <row r="325" ht="18" customHeight="1">
      <c r="D325" s="44"/>
    </row>
    <row r="326" ht="18" customHeight="1">
      <c r="D326" s="44"/>
    </row>
    <row r="327" ht="18" customHeight="1">
      <c r="D327" s="44"/>
    </row>
    <row r="328" ht="18" customHeight="1">
      <c r="D328" s="44"/>
    </row>
    <row r="329" ht="18" customHeight="1">
      <c r="D329" s="44"/>
    </row>
    <row r="330" ht="18" customHeight="1">
      <c r="D330" s="44"/>
    </row>
    <row r="331" ht="18" customHeight="1">
      <c r="D331" s="44"/>
    </row>
    <row r="332" ht="18" customHeight="1">
      <c r="D332" s="44"/>
    </row>
    <row r="333" ht="18" customHeight="1">
      <c r="D333" s="44"/>
    </row>
    <row r="334" ht="18" customHeight="1">
      <c r="D334" s="44"/>
    </row>
    <row r="335" ht="18" customHeight="1">
      <c r="D335" s="44"/>
    </row>
    <row r="336" ht="18" customHeight="1">
      <c r="D336" s="44"/>
    </row>
    <row r="337" ht="18" customHeight="1">
      <c r="D337" s="44"/>
    </row>
    <row r="338" ht="18" customHeight="1">
      <c r="D338" s="44"/>
    </row>
    <row r="339" ht="18" customHeight="1">
      <c r="D339" s="44"/>
    </row>
    <row r="340" ht="18" customHeight="1">
      <c r="D340" s="44"/>
    </row>
    <row r="341" ht="18" customHeight="1">
      <c r="D341" s="44"/>
    </row>
    <row r="342" ht="18" customHeight="1">
      <c r="D342" s="44"/>
    </row>
    <row r="343" ht="18" customHeight="1">
      <c r="D343" s="44"/>
    </row>
    <row r="344" ht="18" customHeight="1">
      <c r="D344" s="44"/>
    </row>
    <row r="345" ht="18" customHeight="1">
      <c r="D345" s="44"/>
    </row>
    <row r="346" ht="18" customHeight="1">
      <c r="D346" s="44"/>
    </row>
    <row r="347" ht="18" customHeight="1">
      <c r="D347" s="44"/>
    </row>
    <row r="348" ht="18" customHeight="1">
      <c r="D348" s="44"/>
    </row>
    <row r="349" ht="18" customHeight="1">
      <c r="D349" s="44"/>
    </row>
    <row r="350" ht="18" customHeight="1">
      <c r="D350" s="44"/>
    </row>
    <row r="351" ht="18" customHeight="1">
      <c r="D351" s="44"/>
    </row>
    <row r="352" ht="18" customHeight="1">
      <c r="D352" s="44"/>
    </row>
    <row r="353" ht="18" customHeight="1">
      <c r="D353" s="44"/>
    </row>
    <row r="354" ht="18" customHeight="1">
      <c r="D354" s="44"/>
    </row>
    <row r="355" ht="18" customHeight="1">
      <c r="D355" s="44"/>
    </row>
    <row r="356" ht="18" customHeight="1">
      <c r="D356" s="44"/>
    </row>
    <row r="357" ht="18" customHeight="1">
      <c r="D357" s="44"/>
    </row>
    <row r="358" ht="18" customHeight="1">
      <c r="D358" s="44"/>
    </row>
    <row r="359" ht="18" customHeight="1">
      <c r="D359" s="44"/>
    </row>
    <row r="360" ht="18" customHeight="1">
      <c r="D360" s="44"/>
    </row>
    <row r="361" ht="18" customHeight="1">
      <c r="D361" s="44"/>
    </row>
    <row r="362" ht="18" customHeight="1">
      <c r="D362" s="44"/>
    </row>
    <row r="363" ht="18" customHeight="1">
      <c r="D363" s="44"/>
    </row>
    <row r="364" ht="18" customHeight="1">
      <c r="D364" s="44"/>
    </row>
    <row r="365" ht="18" customHeight="1">
      <c r="D365" s="44"/>
    </row>
    <row r="366" ht="18" customHeight="1">
      <c r="D366" s="44"/>
    </row>
    <row r="367" ht="18" customHeight="1">
      <c r="D367" s="44"/>
    </row>
    <row r="368" ht="18" customHeight="1">
      <c r="D368" s="44"/>
    </row>
    <row r="369" ht="18" customHeight="1">
      <c r="D369" s="44"/>
    </row>
    <row r="370" ht="18" customHeight="1">
      <c r="D370" s="44"/>
    </row>
    <row r="371" ht="18" customHeight="1">
      <c r="D371" s="44"/>
    </row>
    <row r="372" ht="18" customHeight="1">
      <c r="D372" s="44"/>
    </row>
    <row r="373" ht="18" customHeight="1">
      <c r="D373" s="44"/>
    </row>
    <row r="374" ht="18" customHeight="1">
      <c r="D374" s="44"/>
    </row>
    <row r="375" ht="18" customHeight="1">
      <c r="D375" s="44"/>
    </row>
    <row r="376" ht="18" customHeight="1">
      <c r="D376" s="44"/>
    </row>
    <row r="377" ht="18" customHeight="1">
      <c r="D377" s="44"/>
    </row>
    <row r="378" ht="18" customHeight="1">
      <c r="D378" s="44"/>
    </row>
    <row r="379" ht="18" customHeight="1">
      <c r="D379" s="44"/>
    </row>
    <row r="380" ht="18" customHeight="1">
      <c r="D380" s="44"/>
    </row>
    <row r="381" ht="18" customHeight="1">
      <c r="D381" s="44"/>
    </row>
    <row r="382" ht="18" customHeight="1">
      <c r="D382" s="44"/>
    </row>
    <row r="383" ht="18" customHeight="1">
      <c r="D383" s="44"/>
    </row>
    <row r="384" ht="18" customHeight="1">
      <c r="D384" s="44"/>
    </row>
    <row r="385" ht="18" customHeight="1">
      <c r="D385" s="44"/>
    </row>
    <row r="386" ht="18" customHeight="1">
      <c r="D386" s="44"/>
    </row>
    <row r="387" ht="18" customHeight="1">
      <c r="D387" s="44"/>
    </row>
    <row r="388" ht="18" customHeight="1">
      <c r="D388" s="44"/>
    </row>
    <row r="389" ht="18" customHeight="1">
      <c r="D389" s="44"/>
    </row>
    <row r="390" ht="18" customHeight="1">
      <c r="D390" s="44"/>
    </row>
    <row r="391" ht="18" customHeight="1">
      <c r="D391" s="44"/>
    </row>
    <row r="392" ht="18" customHeight="1">
      <c r="D392" s="44"/>
    </row>
    <row r="393" ht="18" customHeight="1">
      <c r="D393" s="44"/>
    </row>
    <row r="394" ht="18" customHeight="1">
      <c r="D394" s="44"/>
    </row>
    <row r="395" ht="18" customHeight="1">
      <c r="D395" s="44"/>
    </row>
    <row r="396" ht="18" customHeight="1">
      <c r="D396" s="44"/>
    </row>
    <row r="397" ht="18" customHeight="1">
      <c r="D397" s="44"/>
    </row>
    <row r="398" ht="18" customHeight="1">
      <c r="D398" s="44"/>
    </row>
    <row r="399" ht="18" customHeight="1">
      <c r="D399" s="44"/>
    </row>
    <row r="400" ht="18" customHeight="1">
      <c r="D400" s="44"/>
    </row>
    <row r="401" ht="18" customHeight="1">
      <c r="D401" s="44"/>
    </row>
    <row r="402" ht="18" customHeight="1">
      <c r="D402" s="44"/>
    </row>
    <row r="403" ht="18" customHeight="1">
      <c r="D403" s="44"/>
    </row>
    <row r="404" ht="18" customHeight="1">
      <c r="D404" s="44"/>
    </row>
    <row r="405" ht="18" customHeight="1">
      <c r="D405" s="44"/>
    </row>
    <row r="406" ht="18" customHeight="1">
      <c r="D406" s="44"/>
    </row>
    <row r="407" ht="18" customHeight="1">
      <c r="D407" s="44"/>
    </row>
    <row r="408" ht="18" customHeight="1">
      <c r="D408" s="44"/>
    </row>
    <row r="409" ht="18" customHeight="1">
      <c r="D409" s="44"/>
    </row>
    <row r="410" ht="18" customHeight="1">
      <c r="D410" s="44"/>
    </row>
    <row r="411" ht="18" customHeight="1">
      <c r="D411" s="44"/>
    </row>
    <row r="412" ht="18" customHeight="1">
      <c r="D412" s="44"/>
    </row>
    <row r="413" ht="18" customHeight="1">
      <c r="D413" s="44"/>
    </row>
    <row r="414" ht="18" customHeight="1">
      <c r="D414" s="44"/>
    </row>
    <row r="415" ht="18" customHeight="1">
      <c r="D415" s="44"/>
    </row>
    <row r="416" ht="18" customHeight="1">
      <c r="D416" s="44"/>
    </row>
    <row r="417" ht="18" customHeight="1">
      <c r="D417" s="44"/>
    </row>
    <row r="418" ht="18" customHeight="1">
      <c r="D418" s="44"/>
    </row>
    <row r="419" ht="18" customHeight="1">
      <c r="D419" s="44"/>
    </row>
    <row r="420" ht="18" customHeight="1">
      <c r="D420" s="44"/>
    </row>
    <row r="421" ht="18" customHeight="1">
      <c r="D421" s="44"/>
    </row>
    <row r="422" ht="18" customHeight="1">
      <c r="D422" s="44"/>
    </row>
    <row r="423" ht="18" customHeight="1">
      <c r="D423" s="44"/>
    </row>
    <row r="424" ht="18" customHeight="1">
      <c r="D424" s="44"/>
    </row>
    <row r="425" ht="18" customHeight="1">
      <c r="D425" s="44"/>
    </row>
    <row r="426" ht="18" customHeight="1">
      <c r="D426" s="44"/>
    </row>
    <row r="427" ht="18" customHeight="1">
      <c r="D427" s="44"/>
    </row>
    <row r="428" ht="18" customHeight="1">
      <c r="D428" s="44"/>
    </row>
    <row r="429" ht="18" customHeight="1">
      <c r="D429" s="44"/>
    </row>
    <row r="430" ht="18" customHeight="1">
      <c r="D430" s="44"/>
    </row>
    <row r="431" ht="18" customHeight="1">
      <c r="D431" s="44"/>
    </row>
    <row r="432" ht="18" customHeight="1">
      <c r="D432" s="44"/>
    </row>
    <row r="433" ht="18" customHeight="1">
      <c r="D433" s="44"/>
    </row>
    <row r="434" ht="18" customHeight="1">
      <c r="D434" s="44"/>
    </row>
    <row r="435" ht="18" customHeight="1">
      <c r="D435" s="44"/>
    </row>
    <row r="436" ht="18" customHeight="1">
      <c r="D436" s="44"/>
    </row>
    <row r="437" ht="18" customHeight="1">
      <c r="D437" s="44"/>
    </row>
    <row r="438" ht="18" customHeight="1">
      <c r="D438" s="44"/>
    </row>
    <row r="439" ht="18" customHeight="1">
      <c r="D439" s="44"/>
    </row>
    <row r="440" ht="18" customHeight="1">
      <c r="D440" s="44"/>
    </row>
    <row r="441" ht="18" customHeight="1">
      <c r="D441" s="44"/>
    </row>
    <row r="442" ht="18" customHeight="1">
      <c r="D442" s="44"/>
    </row>
    <row r="443" ht="18" customHeight="1">
      <c r="D443" s="44"/>
    </row>
    <row r="444" ht="18" customHeight="1">
      <c r="D444" s="44"/>
    </row>
    <row r="445" ht="18" customHeight="1">
      <c r="D445" s="44"/>
    </row>
    <row r="446" ht="18" customHeight="1">
      <c r="D446" s="44"/>
    </row>
    <row r="447" ht="18" customHeight="1">
      <c r="D447" s="44"/>
    </row>
    <row r="448" ht="18" customHeight="1">
      <c r="D448" s="44"/>
    </row>
    <row r="449" ht="18" customHeight="1">
      <c r="D449" s="44"/>
    </row>
    <row r="450" ht="18" customHeight="1">
      <c r="D450" s="44"/>
    </row>
    <row r="451" ht="18" customHeight="1">
      <c r="D451" s="44"/>
    </row>
    <row r="452" ht="18" customHeight="1">
      <c r="D452" s="44"/>
    </row>
    <row r="453" ht="18" customHeight="1">
      <c r="D453" s="44"/>
    </row>
    <row r="454" ht="18" customHeight="1">
      <c r="D454" s="44"/>
    </row>
    <row r="455" ht="18" customHeight="1">
      <c r="D455" s="44"/>
    </row>
    <row r="456" ht="18" customHeight="1">
      <c r="D456" s="44"/>
    </row>
    <row r="457" ht="18" customHeight="1">
      <c r="D457" s="44"/>
    </row>
    <row r="458" ht="18" customHeight="1">
      <c r="D458" s="44"/>
    </row>
    <row r="459" ht="18" customHeight="1">
      <c r="D459" s="44"/>
    </row>
    <row r="460" ht="18" customHeight="1">
      <c r="D460" s="44"/>
    </row>
    <row r="461" ht="18" customHeight="1">
      <c r="D461" s="44"/>
    </row>
    <row r="462" ht="18" customHeight="1">
      <c r="D462" s="44"/>
    </row>
    <row r="463" ht="18" customHeight="1">
      <c r="D463" s="44"/>
    </row>
    <row r="464" ht="18" customHeight="1">
      <c r="D464" s="44"/>
    </row>
    <row r="465" ht="18" customHeight="1">
      <c r="D465" s="44"/>
    </row>
    <row r="466" ht="18" customHeight="1">
      <c r="D466" s="44"/>
    </row>
    <row r="467" ht="18" customHeight="1">
      <c r="D467" s="44"/>
    </row>
    <row r="468" ht="18" customHeight="1">
      <c r="D468" s="44"/>
    </row>
    <row r="469" ht="18" customHeight="1">
      <c r="D469" s="44"/>
    </row>
    <row r="470" ht="18" customHeight="1">
      <c r="D470" s="44"/>
    </row>
    <row r="471" ht="18" customHeight="1">
      <c r="D471" s="44"/>
    </row>
    <row r="472" ht="18" customHeight="1">
      <c r="D472" s="44"/>
    </row>
    <row r="473" ht="18" customHeight="1">
      <c r="D473" s="44"/>
    </row>
    <row r="474" ht="18" customHeight="1">
      <c r="D474" s="44"/>
    </row>
    <row r="475" ht="18" customHeight="1">
      <c r="D475" s="44"/>
    </row>
    <row r="476" ht="18" customHeight="1">
      <c r="D476" s="44"/>
    </row>
    <row r="477" ht="18" customHeight="1">
      <c r="D477" s="44"/>
    </row>
    <row r="478" ht="18" customHeight="1">
      <c r="D478" s="44"/>
    </row>
    <row r="479" ht="18" customHeight="1">
      <c r="D479" s="44"/>
    </row>
    <row r="480" ht="18" customHeight="1">
      <c r="D480" s="44"/>
    </row>
    <row r="481" ht="18" customHeight="1">
      <c r="D481" s="44"/>
    </row>
    <row r="482" ht="18" customHeight="1">
      <c r="D482" s="44"/>
    </row>
    <row r="483" ht="18" customHeight="1">
      <c r="D483" s="44"/>
    </row>
    <row r="484" ht="18" customHeight="1">
      <c r="D484" s="44"/>
    </row>
    <row r="485" ht="18" customHeight="1">
      <c r="D485" s="44"/>
    </row>
    <row r="486" ht="18" customHeight="1">
      <c r="D486" s="44"/>
    </row>
    <row r="487" ht="18" customHeight="1">
      <c r="D487" s="44"/>
    </row>
    <row r="488" ht="18" customHeight="1">
      <c r="D488" s="44"/>
    </row>
    <row r="489" ht="18" customHeight="1">
      <c r="D489" s="44"/>
    </row>
    <row r="490" ht="18" customHeight="1">
      <c r="D490" s="44"/>
    </row>
    <row r="491" ht="18" customHeight="1">
      <c r="D491" s="44"/>
    </row>
    <row r="492" ht="18" customHeight="1">
      <c r="D492" s="44"/>
    </row>
    <row r="493" ht="18" customHeight="1">
      <c r="D493" s="44"/>
    </row>
    <row r="494" ht="18" customHeight="1">
      <c r="D494" s="44"/>
    </row>
    <row r="495" ht="18" customHeight="1">
      <c r="D495" s="44"/>
    </row>
    <row r="496" ht="18" customHeight="1">
      <c r="D496" s="44"/>
    </row>
    <row r="497" ht="18" customHeight="1">
      <c r="D497" s="44"/>
    </row>
    <row r="498" ht="18" customHeight="1">
      <c r="D498" s="44"/>
    </row>
    <row r="499" ht="18" customHeight="1">
      <c r="D499" s="44"/>
    </row>
    <row r="500" ht="18" customHeight="1">
      <c r="D500" s="44"/>
    </row>
    <row r="501" ht="18" customHeight="1">
      <c r="D501" s="44"/>
    </row>
    <row r="502" ht="18" customHeight="1">
      <c r="D502" s="44"/>
    </row>
    <row r="503" ht="18" customHeight="1">
      <c r="D503" s="44"/>
    </row>
    <row r="504" ht="18" customHeight="1">
      <c r="D504" s="44"/>
    </row>
    <row r="505" ht="18" customHeight="1">
      <c r="D505" s="44"/>
    </row>
    <row r="506" ht="18" customHeight="1">
      <c r="D506" s="44"/>
    </row>
    <row r="507" ht="18" customHeight="1">
      <c r="D507" s="44"/>
    </row>
    <row r="508" ht="18" customHeight="1">
      <c r="D508" s="44"/>
    </row>
    <row r="509" ht="18" customHeight="1">
      <c r="D509" s="44"/>
    </row>
    <row r="510" ht="18" customHeight="1">
      <c r="D510" s="44"/>
    </row>
    <row r="511" ht="18" customHeight="1">
      <c r="D511" s="44"/>
    </row>
    <row r="512" ht="18" customHeight="1">
      <c r="D512" s="44"/>
    </row>
    <row r="513" ht="18" customHeight="1">
      <c r="D513" s="44"/>
    </row>
    <row r="514" ht="18" customHeight="1">
      <c r="D514" s="44"/>
    </row>
  </sheetData>
  <mergeCells count="9">
    <mergeCell ref="A190:J190"/>
    <mergeCell ref="A191:J191"/>
    <mergeCell ref="A192:J192"/>
    <mergeCell ref="A223:J223"/>
    <mergeCell ref="A261:J261"/>
    <mergeCell ref="A262:J262"/>
    <mergeCell ref="A263:J263"/>
    <mergeCell ref="A224:J224"/>
    <mergeCell ref="A225:J225"/>
  </mergeCells>
  <printOptions horizontalCentered="1"/>
  <pageMargins left="0.984251968503937" right="0.3937007874015748" top="0.3937007874015748" bottom="0.3937007874015748" header="0.1968503937007874" footer="0.1968503937007874"/>
  <pageSetup horizontalDpi="600" verticalDpi="600" orientation="portrait" scale="90" r:id="rId2"/>
  <rowBreaks count="7" manualBreakCount="7">
    <brk id="44" max="255" man="1"/>
    <brk id="74" max="255" man="1"/>
    <brk id="105" max="255" man="1"/>
    <brk id="147" max="255" man="1"/>
    <brk id="189" max="255" man="1"/>
    <brk id="222" max="255" man="1"/>
    <brk id="26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A1" sqref="A1:N1"/>
    </sheetView>
  </sheetViews>
  <sheetFormatPr defaultColWidth="9.00390625" defaultRowHeight="16.5" customHeight="1"/>
  <cols>
    <col min="1" max="1" width="42.75390625" style="4" customWidth="1"/>
    <col min="2" max="2" width="11.875" style="3" customWidth="1"/>
    <col min="3" max="3" width="1.75390625" style="6" customWidth="1"/>
    <col min="4" max="4" width="12.375" style="3" customWidth="1"/>
    <col min="5" max="5" width="1.75390625" style="6" customWidth="1"/>
    <col min="6" max="6" width="13.125" style="6" customWidth="1"/>
    <col min="7" max="7" width="1.75390625" style="6" customWidth="1"/>
    <col min="8" max="8" width="11.75390625" style="3" customWidth="1"/>
    <col min="9" max="9" width="1.75390625" style="6" customWidth="1"/>
    <col min="10" max="10" width="11.75390625" style="3" customWidth="1"/>
    <col min="11" max="11" width="1.00390625" style="6" customWidth="1"/>
    <col min="12" max="12" width="9.625" style="3" customWidth="1"/>
    <col min="13" max="13" width="1.75390625" style="6" customWidth="1"/>
    <col min="14" max="14" width="12.625" style="3" customWidth="1"/>
    <col min="15" max="16384" width="9.125" style="4" customWidth="1"/>
  </cols>
  <sheetData>
    <row r="1" spans="1:14" ht="16.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6.5" customHeight="1">
      <c r="A2" s="78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6.5" customHeight="1">
      <c r="A3" s="78" t="s">
        <v>186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ht="16.5" customHeight="1">
      <c r="N4" s="7" t="s">
        <v>146</v>
      </c>
    </row>
    <row r="5" spans="2:14" ht="16.5" customHeight="1">
      <c r="B5" s="79" t="s">
        <v>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ht="16.5" customHeight="1">
      <c r="B6" s="9"/>
      <c r="C6" s="9"/>
      <c r="D6" s="9"/>
      <c r="F6" s="2" t="s">
        <v>195</v>
      </c>
      <c r="H6" s="2" t="s">
        <v>106</v>
      </c>
      <c r="I6" s="9"/>
      <c r="J6" s="9"/>
      <c r="K6" s="9"/>
      <c r="L6" s="9"/>
      <c r="M6" s="9"/>
      <c r="N6" s="9"/>
    </row>
    <row r="7" spans="2:14" ht="16.5" customHeight="1">
      <c r="B7" s="9" t="s">
        <v>77</v>
      </c>
      <c r="C7" s="9"/>
      <c r="D7" s="2" t="s">
        <v>150</v>
      </c>
      <c r="E7" s="2"/>
      <c r="F7" s="9" t="s">
        <v>196</v>
      </c>
      <c r="G7" s="2"/>
      <c r="H7" s="9" t="s">
        <v>105</v>
      </c>
      <c r="I7" s="9"/>
      <c r="J7" s="9"/>
      <c r="K7" s="9"/>
      <c r="L7" s="2" t="s">
        <v>87</v>
      </c>
      <c r="M7" s="9"/>
      <c r="N7" s="9"/>
    </row>
    <row r="8" spans="2:14" s="5" customFormat="1" ht="16.5" customHeight="1">
      <c r="B8" s="8" t="s">
        <v>79</v>
      </c>
      <c r="C8" s="9"/>
      <c r="D8" s="8" t="s">
        <v>80</v>
      </c>
      <c r="E8" s="2"/>
      <c r="F8" s="8" t="s">
        <v>197</v>
      </c>
      <c r="G8" s="2"/>
      <c r="H8" s="8" t="s">
        <v>81</v>
      </c>
      <c r="I8" s="9"/>
      <c r="J8" s="8" t="s">
        <v>82</v>
      </c>
      <c r="K8" s="9"/>
      <c r="L8" s="8" t="s">
        <v>88</v>
      </c>
      <c r="M8" s="9"/>
      <c r="N8" s="8" t="s">
        <v>83</v>
      </c>
    </row>
    <row r="9" spans="1:14" ht="16.5" customHeight="1">
      <c r="A9" s="10" t="s">
        <v>148</v>
      </c>
      <c r="B9" s="11">
        <v>10607896</v>
      </c>
      <c r="D9" s="11">
        <v>-10483105</v>
      </c>
      <c r="F9" s="9" t="s">
        <v>6</v>
      </c>
      <c r="H9" s="11">
        <v>-390</v>
      </c>
      <c r="J9" s="11">
        <v>-765873</v>
      </c>
      <c r="L9" s="9" t="s">
        <v>6</v>
      </c>
      <c r="N9" s="6">
        <f>SUM(B9:L9)</f>
        <v>-641472</v>
      </c>
    </row>
    <row r="10" spans="1:14" ht="16.5" customHeight="1">
      <c r="A10" s="4" t="s">
        <v>85</v>
      </c>
      <c r="B10" s="2" t="s">
        <v>6</v>
      </c>
      <c r="D10" s="2" t="s">
        <v>6</v>
      </c>
      <c r="F10" s="9" t="s">
        <v>6</v>
      </c>
      <c r="H10" s="3">
        <v>262</v>
      </c>
      <c r="J10" s="9" t="s">
        <v>6</v>
      </c>
      <c r="L10" s="9" t="s">
        <v>6</v>
      </c>
      <c r="N10" s="6">
        <f>SUM(B10:M10)</f>
        <v>262</v>
      </c>
    </row>
    <row r="11" spans="1:14" ht="16.5" customHeight="1">
      <c r="A11" s="4" t="s">
        <v>84</v>
      </c>
      <c r="B11" s="12" t="s">
        <v>6</v>
      </c>
      <c r="D11" s="13">
        <f>SUM(D10:D10)</f>
        <v>0</v>
      </c>
      <c r="F11" s="12" t="s">
        <v>6</v>
      </c>
      <c r="H11" s="13">
        <f>SUM(H10:H10)</f>
        <v>262</v>
      </c>
      <c r="J11" s="13">
        <f>SUM(J10:J10)</f>
        <v>0</v>
      </c>
      <c r="L11" s="12" t="s">
        <v>6</v>
      </c>
      <c r="N11" s="13">
        <f>SUM(N10:N10)</f>
        <v>262</v>
      </c>
    </row>
    <row r="12" spans="1:14" ht="16.5" customHeight="1">
      <c r="A12" s="4" t="s">
        <v>181</v>
      </c>
      <c r="B12" s="11">
        <v>392250104</v>
      </c>
      <c r="D12" s="11">
        <v>-388327603</v>
      </c>
      <c r="F12" s="2" t="s">
        <v>6</v>
      </c>
      <c r="H12" s="9" t="s">
        <v>6</v>
      </c>
      <c r="I12" s="9"/>
      <c r="J12" s="9" t="s">
        <v>6</v>
      </c>
      <c r="L12" s="2" t="s">
        <v>6</v>
      </c>
      <c r="N12" s="6">
        <f>SUM(B12:M12)</f>
        <v>3922501</v>
      </c>
    </row>
    <row r="13" spans="1:14" ht="16.5" customHeight="1">
      <c r="A13" s="4" t="s">
        <v>151</v>
      </c>
      <c r="B13" s="8" t="s">
        <v>6</v>
      </c>
      <c r="D13" s="8" t="s">
        <v>6</v>
      </c>
      <c r="F13" s="8" t="s">
        <v>6</v>
      </c>
      <c r="H13" s="8" t="s">
        <v>6</v>
      </c>
      <c r="J13" s="14">
        <f>'BS&amp;PL'!F181</f>
        <v>22665</v>
      </c>
      <c r="L13" s="8" t="s">
        <v>6</v>
      </c>
      <c r="N13" s="18">
        <f>SUM(B13:M13)</f>
        <v>22665</v>
      </c>
    </row>
    <row r="14" spans="1:14" ht="16.5" customHeight="1" thickBot="1">
      <c r="A14" s="10" t="s">
        <v>187</v>
      </c>
      <c r="B14" s="15">
        <f>SUM(B9,B11:B13)</f>
        <v>402858000</v>
      </c>
      <c r="C14" s="11"/>
      <c r="D14" s="15">
        <f>SUM(D9,D11:D13)</f>
        <v>-398810708</v>
      </c>
      <c r="F14" s="20" t="s">
        <v>6</v>
      </c>
      <c r="H14" s="15">
        <f>SUM(H9,H11:H13)</f>
        <v>-128</v>
      </c>
      <c r="I14" s="11"/>
      <c r="J14" s="15">
        <f>SUM(J9,J11:J13)</f>
        <v>-743208</v>
      </c>
      <c r="L14" s="20" t="s">
        <v>6</v>
      </c>
      <c r="N14" s="15">
        <f>SUM(N9,N11:N13)</f>
        <v>3303956</v>
      </c>
    </row>
    <row r="15" spans="1:14" ht="16.5" customHeight="1" thickTop="1">
      <c r="A15" s="10"/>
      <c r="B15" s="11"/>
      <c r="C15" s="11"/>
      <c r="D15" s="11"/>
      <c r="H15" s="11"/>
      <c r="I15" s="11"/>
      <c r="J15" s="11"/>
      <c r="L15" s="9"/>
      <c r="N15" s="11"/>
    </row>
    <row r="16" spans="1:14" ht="16.5" customHeight="1">
      <c r="A16" s="10" t="s">
        <v>161</v>
      </c>
      <c r="B16" s="11">
        <v>805716000</v>
      </c>
      <c r="C16" s="11"/>
      <c r="D16" s="11">
        <v>-797640128</v>
      </c>
      <c r="F16" s="9" t="s">
        <v>6</v>
      </c>
      <c r="H16" s="11">
        <v>8569</v>
      </c>
      <c r="I16" s="11"/>
      <c r="J16" s="11">
        <v>-413049</v>
      </c>
      <c r="L16" s="11">
        <v>655417</v>
      </c>
      <c r="N16" s="6">
        <f>SUM(B16:L16)</f>
        <v>8326809</v>
      </c>
    </row>
    <row r="17" spans="1:14" ht="16.5" customHeight="1">
      <c r="A17" s="4" t="s">
        <v>162</v>
      </c>
      <c r="B17" s="2"/>
      <c r="D17" s="2"/>
      <c r="H17" s="17"/>
      <c r="J17" s="2"/>
      <c r="L17" s="2"/>
      <c r="N17" s="6"/>
    </row>
    <row r="18" spans="1:14" ht="16.5" customHeight="1">
      <c r="A18" s="4" t="s">
        <v>163</v>
      </c>
      <c r="B18" s="2" t="s">
        <v>6</v>
      </c>
      <c r="D18" s="2" t="s">
        <v>6</v>
      </c>
      <c r="F18" s="2" t="s">
        <v>6</v>
      </c>
      <c r="H18" s="2" t="s">
        <v>6</v>
      </c>
      <c r="J18" s="2" t="s">
        <v>6</v>
      </c>
      <c r="L18" s="2">
        <v>7710</v>
      </c>
      <c r="N18" s="2">
        <v>7710</v>
      </c>
    </row>
    <row r="19" spans="1:14" ht="16.5" customHeight="1">
      <c r="A19" s="10" t="s">
        <v>164</v>
      </c>
      <c r="B19" s="12">
        <v>805716000</v>
      </c>
      <c r="C19" s="9"/>
      <c r="D19" s="12">
        <v>-797640128</v>
      </c>
      <c r="E19" s="9"/>
      <c r="F19" s="12" t="s">
        <v>6</v>
      </c>
      <c r="G19" s="9"/>
      <c r="H19" s="13">
        <v>8569</v>
      </c>
      <c r="I19" s="9"/>
      <c r="J19" s="12">
        <v>-413049</v>
      </c>
      <c r="L19" s="12">
        <f>SUM(L16:L18)</f>
        <v>663127</v>
      </c>
      <c r="N19" s="13">
        <f>SUM(N16:N18)</f>
        <v>8334519</v>
      </c>
    </row>
    <row r="20" spans="1:14" ht="16.5" customHeight="1">
      <c r="A20" s="4" t="s">
        <v>198</v>
      </c>
      <c r="B20" s="9" t="s">
        <v>6</v>
      </c>
      <c r="C20" s="9"/>
      <c r="D20" s="9" t="s">
        <v>6</v>
      </c>
      <c r="E20" s="9"/>
      <c r="F20" s="9">
        <v>3759</v>
      </c>
      <c r="G20" s="9"/>
      <c r="H20" s="9" t="s">
        <v>6</v>
      </c>
      <c r="I20" s="9"/>
      <c r="J20" s="9" t="s">
        <v>6</v>
      </c>
      <c r="L20" s="9" t="s">
        <v>6</v>
      </c>
      <c r="N20" s="6">
        <f>SUM(B20:L20)</f>
        <v>3759</v>
      </c>
    </row>
    <row r="21" spans="1:14" ht="16.5" customHeight="1">
      <c r="A21" s="4" t="s">
        <v>169</v>
      </c>
      <c r="B21" s="2" t="s">
        <v>6</v>
      </c>
      <c r="D21" s="2" t="s">
        <v>6</v>
      </c>
      <c r="F21" s="8" t="s">
        <v>6</v>
      </c>
      <c r="H21" s="17">
        <v>-48107</v>
      </c>
      <c r="J21" s="2" t="s">
        <v>6</v>
      </c>
      <c r="L21" s="2" t="s">
        <v>6</v>
      </c>
      <c r="N21" s="6">
        <f>SUM(B21:M21)</f>
        <v>-48107</v>
      </c>
    </row>
    <row r="22" spans="1:14" ht="16.5" customHeight="1">
      <c r="A22" s="4" t="s">
        <v>84</v>
      </c>
      <c r="B22" s="12" t="s">
        <v>6</v>
      </c>
      <c r="C22" s="9"/>
      <c r="D22" s="12" t="s">
        <v>6</v>
      </c>
      <c r="E22" s="9"/>
      <c r="F22" s="13">
        <f>SUM(F20:F21)</f>
        <v>3759</v>
      </c>
      <c r="G22" s="9"/>
      <c r="H22" s="13">
        <f>SUM(H20:H21)</f>
        <v>-48107</v>
      </c>
      <c r="I22" s="9"/>
      <c r="J22" s="12" t="s">
        <v>6</v>
      </c>
      <c r="L22" s="12" t="s">
        <v>6</v>
      </c>
      <c r="N22" s="13">
        <f>SUM(N20:N21)</f>
        <v>-44348</v>
      </c>
    </row>
    <row r="23" spans="1:14" ht="16.5" customHeight="1">
      <c r="A23" s="1" t="s">
        <v>176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6.5" customHeight="1">
      <c r="A24" s="1" t="s">
        <v>177</v>
      </c>
      <c r="B24" s="9">
        <v>-604287000</v>
      </c>
      <c r="C24" s="9"/>
      <c r="D24" s="9">
        <v>604287000</v>
      </c>
      <c r="E24" s="9"/>
      <c r="F24" s="9" t="s">
        <v>6</v>
      </c>
      <c r="G24" s="9"/>
      <c r="H24" s="9" t="s">
        <v>6</v>
      </c>
      <c r="I24" s="9"/>
      <c r="J24" s="9" t="s">
        <v>6</v>
      </c>
      <c r="L24" s="9" t="s">
        <v>6</v>
      </c>
      <c r="N24" s="9" t="s">
        <v>6</v>
      </c>
    </row>
    <row r="25" spans="1:14" ht="16.5" customHeight="1">
      <c r="A25" s="4" t="s">
        <v>170</v>
      </c>
      <c r="B25" s="9" t="s">
        <v>6</v>
      </c>
      <c r="D25" s="9" t="s">
        <v>6</v>
      </c>
      <c r="F25" s="9" t="s">
        <v>6</v>
      </c>
      <c r="H25" s="9" t="s">
        <v>6</v>
      </c>
      <c r="J25" s="6">
        <f>'BS&amp;PL'!D181</f>
        <v>-270740</v>
      </c>
      <c r="L25" s="9" t="s">
        <v>6</v>
      </c>
      <c r="N25" s="6">
        <f>SUM(B25:M25)</f>
        <v>-270740</v>
      </c>
    </row>
    <row r="26" spans="1:14" ht="16.5" customHeight="1">
      <c r="A26" s="4" t="s">
        <v>114</v>
      </c>
      <c r="B26" s="2" t="s">
        <v>6</v>
      </c>
      <c r="D26" s="2" t="s">
        <v>6</v>
      </c>
      <c r="F26" s="2" t="s">
        <v>6</v>
      </c>
      <c r="H26" s="2" t="s">
        <v>6</v>
      </c>
      <c r="J26" s="2" t="s">
        <v>6</v>
      </c>
      <c r="L26" s="9">
        <v>-32653</v>
      </c>
      <c r="N26" s="6">
        <f>SUM(B26:L26)</f>
        <v>-32653</v>
      </c>
    </row>
    <row r="27" spans="1:14" ht="16.5" customHeight="1" thickBot="1">
      <c r="A27" s="10" t="s">
        <v>188</v>
      </c>
      <c r="B27" s="19">
        <f>B24+B19</f>
        <v>201429000</v>
      </c>
      <c r="C27" s="6">
        <f>SUM(C14:C25)</f>
        <v>0</v>
      </c>
      <c r="D27" s="19">
        <f>D24+D19</f>
        <v>-193353128</v>
      </c>
      <c r="E27" s="6">
        <f>SUM(E14:E25)</f>
        <v>0</v>
      </c>
      <c r="F27" s="19">
        <f>SUM(F22:F26)</f>
        <v>3759</v>
      </c>
      <c r="H27" s="19">
        <f>SUM(H22:H26)+H19</f>
        <v>-39538</v>
      </c>
      <c r="I27" s="6">
        <f>SUM(I14:I25)</f>
        <v>0</v>
      </c>
      <c r="J27" s="19">
        <f>SUM(J22:J26)+J19</f>
        <v>-683789</v>
      </c>
      <c r="K27" s="6">
        <f>SUM(K14:K25)</f>
        <v>0</v>
      </c>
      <c r="L27" s="19">
        <f>SUM(L22:L26)+L19</f>
        <v>630474</v>
      </c>
      <c r="M27" s="6">
        <f>SUM(M14:M25)</f>
        <v>0</v>
      </c>
      <c r="N27" s="19">
        <f>SUM(B27:L27)</f>
        <v>7986778</v>
      </c>
    </row>
    <row r="28" ht="16.5" customHeight="1" thickTop="1">
      <c r="N28" s="3">
        <f>N27-'BS&amp;PL'!D97</f>
        <v>0</v>
      </c>
    </row>
    <row r="29" ht="16.5" customHeight="1">
      <c r="A29" s="4" t="s">
        <v>86</v>
      </c>
    </row>
  </sheetData>
  <mergeCells count="4">
    <mergeCell ref="A1:N1"/>
    <mergeCell ref="A2:N2"/>
    <mergeCell ref="B5:N5"/>
    <mergeCell ref="A3:N3"/>
  </mergeCells>
  <printOptions horizontalCentered="1"/>
  <pageMargins left="0.3937007874015748" right="0.3937007874015748" top="0.984251968503937" bottom="0.3937007874015748" header="0.1968503937007874" footer="0.196850393700787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showGridLines="0" workbookViewId="0" topLeftCell="A1">
      <selection activeCell="A1" sqref="A1:L1"/>
    </sheetView>
  </sheetViews>
  <sheetFormatPr defaultColWidth="9.00390625" defaultRowHeight="12.75"/>
  <cols>
    <col min="1" max="1" width="50.75390625" style="3" customWidth="1"/>
    <col min="2" max="2" width="11.875" style="3" customWidth="1"/>
    <col min="3" max="3" width="1.75390625" style="6" customWidth="1"/>
    <col min="4" max="4" width="12.25390625" style="3" customWidth="1"/>
    <col min="5" max="5" width="1.75390625" style="6" customWidth="1"/>
    <col min="6" max="6" width="11.75390625" style="6" customWidth="1"/>
    <col min="7" max="7" width="1.75390625" style="6" customWidth="1"/>
    <col min="8" max="8" width="15.75390625" style="3" customWidth="1"/>
    <col min="9" max="9" width="2.625" style="6" customWidth="1"/>
    <col min="10" max="10" width="11.875" style="3" customWidth="1"/>
    <col min="11" max="11" width="1.75390625" style="6" customWidth="1"/>
    <col min="12" max="12" width="11.875" style="3" customWidth="1"/>
    <col min="13" max="13" width="9.125" style="3" customWidth="1"/>
    <col min="14" max="16384" width="9.125" style="4" customWidth="1"/>
  </cols>
  <sheetData>
    <row r="1" spans="1:12" ht="17.2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7.25" customHeight="1">
      <c r="A2" s="81" t="s">
        <v>76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7.25" customHeight="1">
      <c r="A3" s="78" t="s">
        <v>186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ht="17.25" customHeight="1">
      <c r="L4" s="7" t="s">
        <v>146</v>
      </c>
    </row>
    <row r="5" spans="2:12" ht="17.25" customHeight="1">
      <c r="B5" s="79" t="s">
        <v>3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2" ht="17.25" customHeight="1">
      <c r="B6" s="9"/>
      <c r="C6" s="9"/>
      <c r="D6" s="9"/>
      <c r="F6" s="2" t="s">
        <v>195</v>
      </c>
      <c r="H6" s="2" t="s">
        <v>106</v>
      </c>
      <c r="I6" s="80"/>
      <c r="J6" s="80"/>
      <c r="K6" s="9"/>
      <c r="L6" s="9"/>
    </row>
    <row r="7" spans="2:12" ht="17.25" customHeight="1">
      <c r="B7" s="9" t="s">
        <v>77</v>
      </c>
      <c r="C7" s="9"/>
      <c r="D7" s="2" t="s">
        <v>150</v>
      </c>
      <c r="E7" s="2"/>
      <c r="F7" s="9" t="s">
        <v>196</v>
      </c>
      <c r="G7" s="2"/>
      <c r="H7" s="9" t="s">
        <v>105</v>
      </c>
      <c r="I7" s="9"/>
      <c r="J7" s="9" t="s">
        <v>78</v>
      </c>
      <c r="K7" s="9"/>
      <c r="L7" s="9"/>
    </row>
    <row r="8" spans="1:13" s="5" customFormat="1" ht="17.25" customHeight="1">
      <c r="A8" s="2"/>
      <c r="B8" s="8" t="s">
        <v>79</v>
      </c>
      <c r="C8" s="9"/>
      <c r="D8" s="8" t="s">
        <v>80</v>
      </c>
      <c r="E8" s="2"/>
      <c r="F8" s="8" t="s">
        <v>197</v>
      </c>
      <c r="G8" s="2"/>
      <c r="H8" s="8" t="s">
        <v>81</v>
      </c>
      <c r="I8" s="9"/>
      <c r="J8" s="8" t="s">
        <v>82</v>
      </c>
      <c r="K8" s="9"/>
      <c r="L8" s="8" t="s">
        <v>83</v>
      </c>
      <c r="M8" s="2"/>
    </row>
    <row r="9" spans="1:13" s="5" customFormat="1" ht="17.25" customHeight="1">
      <c r="A9" s="2"/>
      <c r="B9" s="9"/>
      <c r="C9" s="9"/>
      <c r="D9" s="9"/>
      <c r="E9" s="2"/>
      <c r="F9" s="2"/>
      <c r="G9" s="2"/>
      <c r="H9" s="9"/>
      <c r="I9" s="9"/>
      <c r="J9" s="9"/>
      <c r="K9" s="9"/>
      <c r="L9" s="9"/>
      <c r="M9" s="2"/>
    </row>
    <row r="10" spans="1:12" ht="17.25" customHeight="1">
      <c r="A10" s="10" t="s">
        <v>148</v>
      </c>
      <c r="B10" s="11">
        <v>10607896</v>
      </c>
      <c r="D10" s="11">
        <v>-10483105</v>
      </c>
      <c r="F10" s="9" t="s">
        <v>6</v>
      </c>
      <c r="H10" s="11">
        <v>-390</v>
      </c>
      <c r="J10" s="11">
        <v>-765873</v>
      </c>
      <c r="L10" s="11">
        <f>SUM(B10:J10)</f>
        <v>-641472</v>
      </c>
    </row>
    <row r="11" spans="1:12" ht="17.25" customHeight="1">
      <c r="A11" s="3" t="s">
        <v>85</v>
      </c>
      <c r="B11" s="2" t="s">
        <v>6</v>
      </c>
      <c r="D11" s="2" t="s">
        <v>6</v>
      </c>
      <c r="F11" s="9" t="s">
        <v>6</v>
      </c>
      <c r="H11" s="3">
        <v>262</v>
      </c>
      <c r="J11" s="9" t="s">
        <v>6</v>
      </c>
      <c r="L11" s="6">
        <f>SUM(B11:K11)</f>
        <v>262</v>
      </c>
    </row>
    <row r="12" spans="1:12" ht="17.25" customHeight="1">
      <c r="A12" s="3" t="s">
        <v>84</v>
      </c>
      <c r="B12" s="12" t="s">
        <v>6</v>
      </c>
      <c r="D12" s="12" t="s">
        <v>6</v>
      </c>
      <c r="F12" s="12" t="s">
        <v>6</v>
      </c>
      <c r="H12" s="13">
        <f>SUM(H11:H11)</f>
        <v>262</v>
      </c>
      <c r="J12" s="12" t="s">
        <v>6</v>
      </c>
      <c r="L12" s="13">
        <f>SUM(L11:L11)</f>
        <v>262</v>
      </c>
    </row>
    <row r="13" spans="1:12" ht="17.25" customHeight="1">
      <c r="A13" s="3" t="s">
        <v>181</v>
      </c>
      <c r="B13" s="11">
        <v>392250104</v>
      </c>
      <c r="D13" s="11">
        <v>-388327603</v>
      </c>
      <c r="F13" s="2" t="s">
        <v>6</v>
      </c>
      <c r="H13" s="9" t="s">
        <v>6</v>
      </c>
      <c r="J13" s="9" t="s">
        <v>6</v>
      </c>
      <c r="L13" s="9">
        <f>SUM(B13:K13)</f>
        <v>3922501</v>
      </c>
    </row>
    <row r="14" spans="1:12" ht="17.25" customHeight="1">
      <c r="A14" s="3" t="s">
        <v>151</v>
      </c>
      <c r="B14" s="8" t="s">
        <v>6</v>
      </c>
      <c r="D14" s="8" t="s">
        <v>6</v>
      </c>
      <c r="F14" s="8" t="s">
        <v>6</v>
      </c>
      <c r="H14" s="8" t="s">
        <v>6</v>
      </c>
      <c r="J14" s="14">
        <f>'BS&amp;PL'!J181</f>
        <v>22665</v>
      </c>
      <c r="L14" s="8">
        <f>SUM(B14:K14)</f>
        <v>22665</v>
      </c>
    </row>
    <row r="15" spans="1:12" ht="17.25" customHeight="1" thickBot="1">
      <c r="A15" s="10" t="s">
        <v>187</v>
      </c>
      <c r="B15" s="15">
        <f>SUM(B10,B12:B14)</f>
        <v>402858000</v>
      </c>
      <c r="C15" s="11"/>
      <c r="D15" s="15">
        <f>SUM(D10,D12:D14)</f>
        <v>-398810708</v>
      </c>
      <c r="F15" s="20" t="s">
        <v>6</v>
      </c>
      <c r="H15" s="15">
        <f>SUM(H10,H12:H14)</f>
        <v>-128</v>
      </c>
      <c r="I15" s="11"/>
      <c r="J15" s="15">
        <f>SUM(J10,J12:J14)</f>
        <v>-743208</v>
      </c>
      <c r="L15" s="15">
        <f>SUM(L10,L12:L14)</f>
        <v>3303956</v>
      </c>
    </row>
    <row r="16" spans="1:12" ht="17.25" customHeight="1" thickTop="1">
      <c r="A16" s="10"/>
      <c r="B16" s="11"/>
      <c r="C16" s="11"/>
      <c r="D16" s="11"/>
      <c r="H16" s="11"/>
      <c r="I16" s="11"/>
      <c r="J16" s="11"/>
      <c r="L16" s="11"/>
    </row>
    <row r="17" spans="1:12" ht="17.25" customHeight="1">
      <c r="A17" s="16"/>
      <c r="B17" s="11"/>
      <c r="C17" s="11"/>
      <c r="D17" s="11"/>
      <c r="H17" s="11"/>
      <c r="I17" s="11"/>
      <c r="J17" s="11"/>
      <c r="L17" s="11"/>
    </row>
    <row r="18" spans="1:12" ht="17.25" customHeight="1">
      <c r="A18" s="10" t="s">
        <v>149</v>
      </c>
      <c r="B18" s="11">
        <v>805716000</v>
      </c>
      <c r="C18" s="11"/>
      <c r="D18" s="11">
        <v>-797640128</v>
      </c>
      <c r="F18" s="9" t="s">
        <v>6</v>
      </c>
      <c r="H18" s="11">
        <v>8569</v>
      </c>
      <c r="I18" s="11"/>
      <c r="J18" s="11">
        <v>-413049</v>
      </c>
      <c r="L18" s="11">
        <f>SUM(B18:J18)</f>
        <v>7671392</v>
      </c>
    </row>
    <row r="19" spans="1:12" ht="17.25" customHeight="1">
      <c r="A19" s="4" t="s">
        <v>199</v>
      </c>
      <c r="B19" s="9" t="s">
        <v>6</v>
      </c>
      <c r="C19" s="9"/>
      <c r="D19" s="9" t="s">
        <v>6</v>
      </c>
      <c r="F19" s="9">
        <v>3759</v>
      </c>
      <c r="H19" s="9" t="s">
        <v>6</v>
      </c>
      <c r="J19" s="9" t="s">
        <v>6</v>
      </c>
      <c r="L19" s="11">
        <f>SUM(B19:J19)</f>
        <v>3759</v>
      </c>
    </row>
    <row r="20" spans="1:12" ht="17.25" customHeight="1">
      <c r="A20" s="3" t="s">
        <v>169</v>
      </c>
      <c r="B20" s="2" t="s">
        <v>6</v>
      </c>
      <c r="D20" s="2" t="s">
        <v>6</v>
      </c>
      <c r="F20" s="8" t="s">
        <v>6</v>
      </c>
      <c r="H20" s="17">
        <v>-48107</v>
      </c>
      <c r="J20" s="2" t="s">
        <v>6</v>
      </c>
      <c r="L20" s="6">
        <f>SUM(B20:K20)</f>
        <v>-48107</v>
      </c>
    </row>
    <row r="21" spans="1:12" ht="17.25" customHeight="1">
      <c r="A21" s="3" t="s">
        <v>84</v>
      </c>
      <c r="B21" s="12" t="s">
        <v>6</v>
      </c>
      <c r="C21" s="9"/>
      <c r="D21" s="12" t="s">
        <v>6</v>
      </c>
      <c r="E21" s="9"/>
      <c r="F21" s="9">
        <f>SUM(F19:F20)</f>
        <v>3759</v>
      </c>
      <c r="G21" s="9"/>
      <c r="H21" s="12">
        <f>H20</f>
        <v>-48107</v>
      </c>
      <c r="I21" s="9"/>
      <c r="J21" s="12" t="s">
        <v>6</v>
      </c>
      <c r="L21" s="13">
        <f>SUM(L19:L20)</f>
        <v>-44348</v>
      </c>
    </row>
    <row r="22" spans="1:12" ht="17.25" customHeight="1">
      <c r="A22" s="1" t="s">
        <v>176</v>
      </c>
      <c r="B22" s="4"/>
      <c r="C22" s="4"/>
      <c r="D22" s="4"/>
      <c r="E22" s="9"/>
      <c r="F22" s="9"/>
      <c r="G22" s="9"/>
      <c r="H22" s="11"/>
      <c r="I22" s="9"/>
      <c r="J22" s="9"/>
      <c r="L22" s="11"/>
    </row>
    <row r="23" spans="1:12" ht="17.25" customHeight="1">
      <c r="A23" s="1" t="s">
        <v>177</v>
      </c>
      <c r="B23" s="9">
        <v>-604287000</v>
      </c>
      <c r="C23" s="9"/>
      <c r="D23" s="9">
        <v>604287000</v>
      </c>
      <c r="E23" s="9"/>
      <c r="F23" s="9" t="s">
        <v>6</v>
      </c>
      <c r="G23" s="9"/>
      <c r="H23" s="9" t="s">
        <v>6</v>
      </c>
      <c r="J23" s="9" t="s">
        <v>6</v>
      </c>
      <c r="L23" s="9" t="s">
        <v>6</v>
      </c>
    </row>
    <row r="24" spans="1:12" ht="17.25" customHeight="1">
      <c r="A24" s="3" t="s">
        <v>170</v>
      </c>
      <c r="B24" s="8" t="s">
        <v>6</v>
      </c>
      <c r="D24" s="8" t="s">
        <v>6</v>
      </c>
      <c r="F24" s="8" t="s">
        <v>6</v>
      </c>
      <c r="H24" s="8" t="s">
        <v>6</v>
      </c>
      <c r="J24" s="18">
        <f>'BS&amp;PL'!H181</f>
        <v>-270740</v>
      </c>
      <c r="L24" s="14">
        <f>SUM(B24:K24)</f>
        <v>-270740</v>
      </c>
    </row>
    <row r="25" spans="1:12" ht="19.5" thickBot="1">
      <c r="A25" s="10" t="s">
        <v>188</v>
      </c>
      <c r="B25" s="19">
        <f>SUM(B18:B23)</f>
        <v>201429000</v>
      </c>
      <c r="D25" s="19">
        <f>SUM(D18:D23)</f>
        <v>-193353128</v>
      </c>
      <c r="F25" s="20">
        <f>SUM(F18:F20)</f>
        <v>3759</v>
      </c>
      <c r="H25" s="20">
        <f>SUM(H18:H20)</f>
        <v>-39538</v>
      </c>
      <c r="J25" s="19">
        <f>SUM(J18:J24)</f>
        <v>-683789</v>
      </c>
      <c r="L25" s="19">
        <f>SUM(L18,L21:L24)</f>
        <v>7356304</v>
      </c>
    </row>
    <row r="26" ht="19.5" thickTop="1">
      <c r="L26" s="3">
        <f>L25-'BS&amp;PL'!H97</f>
        <v>0</v>
      </c>
    </row>
    <row r="27" ht="18.75">
      <c r="A27" s="3" t="s">
        <v>86</v>
      </c>
    </row>
  </sheetData>
  <mergeCells count="5">
    <mergeCell ref="I6:J6"/>
    <mergeCell ref="A1:L1"/>
    <mergeCell ref="A2:L2"/>
    <mergeCell ref="A3:L3"/>
    <mergeCell ref="B5:L5"/>
  </mergeCells>
  <printOptions horizontalCentered="1"/>
  <pageMargins left="0.3937007874015748" right="0.3937007874015748" top="0.984251968503937" bottom="0.3937007874015748" header="0.1968503937007874" footer="0.196850393700787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west virginia</cp:lastModifiedBy>
  <cp:lastPrinted>2004-08-16T13:51:44Z</cp:lastPrinted>
  <dcterms:created xsi:type="dcterms:W3CDTF">1980-01-10T10:55:23Z</dcterms:created>
  <dcterms:modified xsi:type="dcterms:W3CDTF">2004-08-24T02:13:52Z</dcterms:modified>
  <cp:category/>
  <cp:version/>
  <cp:contentType/>
  <cp:contentStatus/>
</cp:coreProperties>
</file>