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tabRatio="590" firstSheet="2" activeTab="2"/>
  </bookViews>
  <sheets>
    <sheet name="D1" sheetId="1" state="hidden" r:id="rId1"/>
    <sheet name="Sheet1" sheetId="2" state="hidden" r:id="rId2"/>
    <sheet name="incomestatements" sheetId="3" r:id="rId3"/>
    <sheet name="Balance Sheet " sheetId="4" r:id="rId4"/>
    <sheet name="equitystatement " sheetId="5" r:id="rId5"/>
    <sheet name="cashflow" sheetId="6" r:id="rId6"/>
    <sheet name="Notes" sheetId="7" r:id="rId7"/>
    <sheet name="D2" sheetId="8" state="hidden" r:id="rId8"/>
  </sheets>
  <definedNames>
    <definedName name="_xlnm.Print_Area" localSheetId="4">'equitystatement '!$A$1:$L$72</definedName>
    <definedName name="_xlnm.Print_Area" localSheetId="6">'Notes'!$A$2:$G$333</definedName>
    <definedName name="_xlnm.Print_Titles" localSheetId="6">'Notes'!$2:$3</definedName>
  </definedNames>
  <calcPr fullCalcOnLoad="1"/>
</workbook>
</file>

<file path=xl/sharedStrings.xml><?xml version="1.0" encoding="utf-8"?>
<sst xmlns="http://schemas.openxmlformats.org/spreadsheetml/2006/main" count="650" uniqueCount="473">
  <si>
    <t xml:space="preserve">     subsidiary company, Penang Shipbuilding &amp; Construction Sdn Bhd ("PSC"), which was announced on </t>
  </si>
  <si>
    <t xml:space="preserve">     even date disputed the said termination and has since filed its defence and counter claims.</t>
  </si>
  <si>
    <t xml:space="preserve">     of the  whole outstanding sums of the banking facilities. The Company and PSC in their reply to ABB on</t>
  </si>
  <si>
    <t xml:space="preserve">     Arising from this termination, ABB sent the notice of termination of banking facilities to the Company and its </t>
  </si>
  <si>
    <t xml:space="preserve">     the Debt Restructuring proposal, which was announced on 15 October 2004. BFC has informed </t>
  </si>
  <si>
    <t xml:space="preserve">     the Company that they are disputing the above termination.</t>
  </si>
  <si>
    <t>Proposed Debt Restructuring and Restricted Offer for Sale ("revised proposals")</t>
  </si>
  <si>
    <t>Company</t>
  </si>
  <si>
    <t>Remarks</t>
  </si>
  <si>
    <t>Amount (RM)</t>
  </si>
  <si>
    <t>Affin Bank Berhad</t>
  </si>
  <si>
    <t xml:space="preserve">PSCI and PSCSB </t>
  </si>
  <si>
    <t xml:space="preserve">PSCI </t>
  </si>
  <si>
    <t>Danaharta Managers Sdn Bhd</t>
  </si>
  <si>
    <t>Affin-ACF Finance Berhad</t>
  </si>
  <si>
    <t>PSC Asset</t>
  </si>
  <si>
    <t>OCBC Bank (Malaysia) Berhad</t>
  </si>
  <si>
    <t>Financial Institutions</t>
  </si>
  <si>
    <t>Bank Kerjasama Rakyat Malaysia</t>
  </si>
  <si>
    <t>PSCSB</t>
  </si>
  <si>
    <t>Bank Islam Malaysia Berhad</t>
  </si>
  <si>
    <t>h.</t>
  </si>
  <si>
    <t>Danaharta Urus Sdn Bhd</t>
  </si>
  <si>
    <t xml:space="preserve">Filed defence and </t>
  </si>
  <si>
    <t xml:space="preserve">  counter claim.</t>
  </si>
  <si>
    <t>Asset Holdings Sdn Bhd ("PSC Asset") and PSC-Naval Dockyard Sdn Bhd ("PSCND") have received demands</t>
  </si>
  <si>
    <t>from the following financial institutions:-</t>
  </si>
  <si>
    <t>Replied to demand</t>
  </si>
  <si>
    <t>Received notice</t>
  </si>
  <si>
    <t>Filed defence .</t>
  </si>
  <si>
    <t>Under appeal.</t>
  </si>
  <si>
    <t>Replied to demand.</t>
  </si>
  <si>
    <t xml:space="preserve">01.01.2004 </t>
  </si>
  <si>
    <t>01.01.2003</t>
  </si>
  <si>
    <t xml:space="preserve">(Company No. : 11106-V) </t>
  </si>
  <si>
    <t>not materially affected by any seasonal or cyclical factors.</t>
  </si>
  <si>
    <t>Not Applicable.</t>
  </si>
  <si>
    <t>CONDENSED CONSOLIDATED INCOME STATEMENTS</t>
  </si>
  <si>
    <t>CONDENSED CONSOLIDATED BALANCE SHEETS</t>
  </si>
  <si>
    <t>(UNAUDITED)</t>
  </si>
  <si>
    <t>(AUDITED)</t>
  </si>
  <si>
    <t>(The condensed Balance Sheets should be read in conjunction with the Annual  Financial</t>
  </si>
  <si>
    <t>Deposits, bank and cash balances</t>
  </si>
  <si>
    <t xml:space="preserve">Balance as at </t>
  </si>
  <si>
    <t>The auditor's report of the preceding annual financial statements of the Company and of the Group</t>
  </si>
  <si>
    <t xml:space="preserve">Gain on disposal of  </t>
  </si>
  <si>
    <t xml:space="preserve"> subsidiary companies</t>
  </si>
  <si>
    <t>There were no other items affecting the assets, liabilities, equity, net income  or cash flows of the Group</t>
  </si>
  <si>
    <t>Profit/(loss)</t>
  </si>
  <si>
    <t>Before</t>
  </si>
  <si>
    <t>Intersegment elimination</t>
  </si>
  <si>
    <t>Other operations</t>
  </si>
  <si>
    <t>Distributable</t>
  </si>
  <si>
    <t>Revenue</t>
  </si>
  <si>
    <t>period of 5 years from the commencement date of the project.</t>
  </si>
  <si>
    <t>year ended 31.12.2003</t>
  </si>
  <si>
    <t>Shipbuilding and shiprepair related activities</t>
  </si>
  <si>
    <t>Property, plant and equipment</t>
  </si>
  <si>
    <t>Material events subsequent to the reporting period</t>
  </si>
  <si>
    <t>Seasonal or cyclical factors</t>
  </si>
  <si>
    <t>Foreign currrency</t>
  </si>
  <si>
    <t>-</t>
  </si>
  <si>
    <t>('000)</t>
  </si>
  <si>
    <t xml:space="preserve">                         CUMULATIVE QUARTER</t>
  </si>
  <si>
    <t>Unallocated expenses</t>
  </si>
  <si>
    <t>Finance cost</t>
  </si>
  <si>
    <t xml:space="preserve">There were no issuances or repayment of debts and equity securities, share buy-backs, </t>
  </si>
  <si>
    <t>are immaterial.</t>
  </si>
  <si>
    <t>Other than the above, there are also other litigation matters which in the opinion of the Board of Directors</t>
  </si>
  <si>
    <t xml:space="preserve">Final dividend paid for </t>
  </si>
  <si>
    <t>year ended 31.12.2002</t>
  </si>
  <si>
    <t>INDIVIDUAL QUARTER</t>
  </si>
  <si>
    <t>CUMULATIVE QUARTER</t>
  </si>
  <si>
    <t>TO DATE</t>
  </si>
  <si>
    <t>PERIOD</t>
  </si>
  <si>
    <t xml:space="preserve">YEAR </t>
  </si>
  <si>
    <t xml:space="preserve">    </t>
  </si>
  <si>
    <t>Provision for doubtful debts</t>
  </si>
  <si>
    <t>PSC INDUSTRIES BERHAD</t>
  </si>
  <si>
    <t>PSC</t>
  </si>
  <si>
    <t>PSCI</t>
  </si>
  <si>
    <t>SFI</t>
  </si>
  <si>
    <t>SFS</t>
  </si>
  <si>
    <t>SMS</t>
  </si>
  <si>
    <t>PSCA</t>
  </si>
  <si>
    <t>STSB</t>
  </si>
  <si>
    <t>SDSB</t>
  </si>
  <si>
    <t>TOTAL</t>
  </si>
  <si>
    <t>DR</t>
  </si>
  <si>
    <t>CR</t>
  </si>
  <si>
    <t>MINORITY INTEREST</t>
  </si>
  <si>
    <t>There was no dividend declared or recommended for the current financial year ended 31 December 2004.</t>
  </si>
  <si>
    <t xml:space="preserve"> with the Annual Financial Statements for the year ended 31 December 2003)</t>
  </si>
  <si>
    <t xml:space="preserve">(The condensed Consolidated Statements of Changes in Equity  should be read in conjunction </t>
  </si>
  <si>
    <t>Net Current Liabilities</t>
  </si>
  <si>
    <t xml:space="preserve">Net gain not rcognised in the </t>
  </si>
  <si>
    <t xml:space="preserve">Net gain not recognised in the </t>
  </si>
  <si>
    <t>financial statements for the financial year ended 31 December 2003.</t>
  </si>
  <si>
    <t xml:space="preserve">During the current financial quarter, there is a gain of RM28.8 million in respect of disposal of subsidiary </t>
  </si>
  <si>
    <t>-currency translations</t>
  </si>
  <si>
    <t>that are unusual because of their nature, size or incidence for the current  financial quarter ended</t>
  </si>
  <si>
    <t>company, Wavemaster International Pty Ltd, provision for doubtful debts of RM67.1 million and provision</t>
  </si>
  <si>
    <t>million.</t>
  </si>
  <si>
    <t xml:space="preserve">There were no material events subsequent to the end of the financial period reported that have not been </t>
  </si>
  <si>
    <t>of deferred expenditure and high provision for doubtful debts.</t>
  </si>
  <si>
    <t>There is a gain of RM28.8 million in respect of  disposal of subsidiary company, Wavemaster International Pty</t>
  </si>
  <si>
    <t>There were no material off balance sheet financial instruments during the current financial quarter ended</t>
  </si>
  <si>
    <t>EURO 27,649</t>
  </si>
  <si>
    <t>Provision for cost escalation and currency difference for</t>
  </si>
  <si>
    <t xml:space="preserve">During the current financial quarter, a wholly owned subsidiary company , Penang Shipbuilding &amp; Construction </t>
  </si>
  <si>
    <t xml:space="preserve">owned subsidiary company in Australia, Wavemaster International Pty. Limited. The detail is as per announcement </t>
  </si>
  <si>
    <t xml:space="preserve">Sdn Bhd entered into a Share Sale Agreement with JR Marine  Systems Pte. Ltd., for the disposal of its 100% </t>
  </si>
  <si>
    <t>Condensed Consolidated Cash Flow Statements</t>
  </si>
  <si>
    <t>For the year ended 31 December 2004</t>
  </si>
  <si>
    <t>9 months</t>
  </si>
  <si>
    <t>12 months</t>
  </si>
  <si>
    <t xml:space="preserve">ended </t>
  </si>
  <si>
    <t>31/12/03</t>
  </si>
  <si>
    <t>(RM)</t>
  </si>
  <si>
    <t>Net (Loss)/Profit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</si>
  <si>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</si>
  <si>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</si>
  <si>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</si>
  <si>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(loss)/profit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</si>
  <si>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</si>
  <si>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</si>
  <si>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</si>
  <si>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Net cash used in from operating activities</t>
  </si>
  <si>
    <t>Investing activities</t>
  </si>
  <si>
    <t xml:space="preserve">  Interest received</t>
  </si>
  <si>
    <t xml:space="preserve">  Purchase of property, plant &amp; equipment</t>
  </si>
  <si>
    <t xml:space="preserve">  Proceeds from disposal of propert,plant &amp; equipment</t>
  </si>
  <si>
    <t xml:space="preserve">  Proceeds from disposal of a subsidiary company</t>
  </si>
  <si>
    <t xml:space="preserve">  Purchase of subsidiary companies, net of cash and cash equivalent</t>
  </si>
  <si>
    <t xml:space="preserve">   acquired</t>
  </si>
  <si>
    <t xml:space="preserve">  Withdrawal from fixed deposit pledged/(Placement of fixed deposit)</t>
  </si>
  <si>
    <t xml:space="preserve">  Net cash generated from investing activities</t>
  </si>
  <si>
    <t>Financing activities</t>
  </si>
  <si>
    <t xml:space="preserve">  Dividend paid to minority interests of a subsidiary company</t>
  </si>
  <si>
    <t xml:space="preserve">  Dividend paid to shareholders</t>
  </si>
  <si>
    <t xml:space="preserve">  Bank borrowings</t>
  </si>
  <si>
    <t xml:space="preserve">  Bonus issue expenses</t>
  </si>
  <si>
    <t xml:space="preserve">  Private placement expenses</t>
  </si>
  <si>
    <t xml:space="preserve">  Share capital issued</t>
  </si>
  <si>
    <t xml:space="preserve">  Net cash generated from financing activities</t>
  </si>
  <si>
    <t>Net change in Cash &amp; Cash Equivalents</t>
  </si>
  <si>
    <t>Cash &amp; Cash equivalents at beginning of year</t>
  </si>
  <si>
    <t>Effect of foreign exchange rate changes</t>
  </si>
  <si>
    <t>Cash &amp; Cash equivalents at end of year</t>
  </si>
  <si>
    <t>(The condensed Consolidated Cash Flow Statements should be read in conjunction with the</t>
  </si>
  <si>
    <t>Annual Financial Statements for the year ended 31 December 2003)</t>
  </si>
  <si>
    <t xml:space="preserve">     the listing of  63,488,079 new ordinary shares of RM1 each in the Company to be issued pursuant</t>
  </si>
  <si>
    <t xml:space="preserve">     to the amended revised proposals, subject to the condition that shareholders approval be obtained.</t>
  </si>
  <si>
    <t>Taxation</t>
  </si>
  <si>
    <t>31/12/04</t>
  </si>
  <si>
    <t>31 December 2004.</t>
  </si>
  <si>
    <t>FOR THE YEAR ENDED 31 DECEMBER 2004</t>
  </si>
  <si>
    <t xml:space="preserve">The business operations of the Group for the current financial year ended  31 December 2004 were </t>
  </si>
  <si>
    <t>Total Group Borrowings as at 31 December 2004 are as follows:-</t>
  </si>
  <si>
    <t>ended 31 December 2004.</t>
  </si>
  <si>
    <t xml:space="preserve">                                       For the year ended 31 December 2004</t>
  </si>
  <si>
    <t>Balance as at 31.12.2003</t>
  </si>
  <si>
    <t>31.12.2003</t>
  </si>
  <si>
    <t>Balance as at 31.12.2004</t>
  </si>
  <si>
    <t>12 months ended</t>
  </si>
  <si>
    <t>31.12.2004</t>
  </si>
  <si>
    <t>PSC GROUP</t>
  </si>
  <si>
    <t>Turnover</t>
  </si>
  <si>
    <t>Profit after taxation</t>
  </si>
  <si>
    <t>VARIANCE</t>
  </si>
  <si>
    <t>BUDGET</t>
  </si>
  <si>
    <t>Investment income</t>
  </si>
  <si>
    <t>Interest on borrowings</t>
  </si>
  <si>
    <t>WMI</t>
  </si>
  <si>
    <t>PSCT</t>
  </si>
  <si>
    <t>PSCND</t>
  </si>
  <si>
    <t>DDI</t>
  </si>
  <si>
    <t>UMC</t>
  </si>
  <si>
    <t>PSCM</t>
  </si>
  <si>
    <t>PENANG SHIPBUILDING &amp; CONSTRUCTION SDN BHD</t>
  </si>
  <si>
    <t>PSC-STN</t>
  </si>
  <si>
    <t>Inventories</t>
  </si>
  <si>
    <t>Dividends paid</t>
  </si>
  <si>
    <t>Valuation of property, plant and equipment</t>
  </si>
  <si>
    <t>Contingent Liabilities/ Assets</t>
  </si>
  <si>
    <t>Earnings Per Share</t>
  </si>
  <si>
    <t>CURRENT</t>
  </si>
  <si>
    <t>PRECEDING YEAR</t>
  </si>
  <si>
    <t>YEAR</t>
  </si>
  <si>
    <t>CORRESPONDING</t>
  </si>
  <si>
    <t>RM'000</t>
  </si>
  <si>
    <t>AS AT</t>
  </si>
  <si>
    <t>Current Liabilities</t>
  </si>
  <si>
    <t>Shareholders' Funds</t>
  </si>
  <si>
    <t>Share Capital</t>
  </si>
  <si>
    <t>Reserves</t>
  </si>
  <si>
    <t>Minority Interests</t>
  </si>
  <si>
    <t>PSC G</t>
  </si>
  <si>
    <t>PSCI G</t>
  </si>
  <si>
    <t>Adjustment</t>
  </si>
  <si>
    <t>%</t>
  </si>
  <si>
    <t>HSC</t>
  </si>
  <si>
    <t>AERO</t>
  </si>
  <si>
    <t>PSCG</t>
  </si>
  <si>
    <t>Shareholding</t>
  </si>
  <si>
    <t>Other Income</t>
  </si>
  <si>
    <t>Operating Profit before</t>
  </si>
  <si>
    <t xml:space="preserve">  interest on borrowings,</t>
  </si>
  <si>
    <t xml:space="preserve">  depn &amp; amortn</t>
  </si>
  <si>
    <t>Depreciation &amp; Amort'n</t>
  </si>
  <si>
    <t>Profit before tax &amp; MI</t>
  </si>
  <si>
    <t>Minority Interest</t>
  </si>
  <si>
    <t>Profit After Tax &amp; MI</t>
  </si>
  <si>
    <t>30/6/99</t>
  </si>
  <si>
    <t>There were no material changes in estimates in respect of amounts reported in  the prior interim periods</t>
  </si>
  <si>
    <t>Intangible Assets</t>
  </si>
  <si>
    <t>Other investments</t>
  </si>
  <si>
    <t>Overdraft &amp; Short Term Borrowings</t>
  </si>
  <si>
    <t>Net tangible assets per share (RM)</t>
  </si>
  <si>
    <t>Long Term Liabilties</t>
  </si>
  <si>
    <t>Borrowings</t>
  </si>
  <si>
    <t>Other deferred liabilities</t>
  </si>
  <si>
    <t>Retained</t>
  </si>
  <si>
    <t>Profits</t>
  </si>
  <si>
    <t xml:space="preserve">                                          Condensed Consolidated Statements of Changes in Equity</t>
  </si>
  <si>
    <t>Offshore Patrol vessels expenditure</t>
  </si>
  <si>
    <t>PSC  INDUSTRIES BERHAD</t>
  </si>
  <si>
    <t xml:space="preserve">Basic earnings per </t>
  </si>
  <si>
    <t>ordinary share (sen)</t>
  </si>
  <si>
    <t>31/12/2003</t>
  </si>
  <si>
    <t>The interim financial report has been prepared in accordance with MASB 26 Interim Financial</t>
  </si>
  <si>
    <t>Items of unusual nature, size or incidence</t>
  </si>
  <si>
    <t>Changes in estimates  of amounts</t>
  </si>
  <si>
    <t>Bonus issue expenses</t>
  </si>
  <si>
    <t>(The condensed Consolidated Income Statements Should be read in conjunction with the Annual</t>
  </si>
  <si>
    <t>was not subjected to any qualification.</t>
  </si>
  <si>
    <t>-surplus on revaluation of  assets</t>
  </si>
  <si>
    <t xml:space="preserve"> -Realisation of capital reserve </t>
  </si>
  <si>
    <t xml:space="preserve">  differences upon disposal of</t>
  </si>
  <si>
    <t xml:space="preserve">  subsidiary companies</t>
  </si>
  <si>
    <t xml:space="preserve">  upon disposal of subsidiary companies</t>
  </si>
  <si>
    <t>of the current financial year or that of prior financial years.</t>
  </si>
  <si>
    <t>current financial quarter ended 31 December 2004.</t>
  </si>
  <si>
    <t xml:space="preserve">There was no dividend paid for the current financial quarter ended 31 December 2004. </t>
  </si>
  <si>
    <t>made on 29 October 2004.</t>
  </si>
  <si>
    <t>pre-tax loss.</t>
  </si>
  <si>
    <t>The Group's pre-tax loss for the quarter under review as compared to preceding quarter was mainly due to</t>
  </si>
  <si>
    <t>reflected in the financial statements for the current financial year ended  31 December 2004.</t>
  </si>
  <si>
    <t xml:space="preserve">With the exception of the above, there were no profits on sale of investment and/or properties for the </t>
  </si>
  <si>
    <t>There were no purchase or disposal of quoted securities for the current financial quarter ended</t>
  </si>
  <si>
    <t>The basic earnings per share has been calculated based on the Group's net loss for the financial year</t>
  </si>
  <si>
    <t>Investment Properties</t>
  </si>
  <si>
    <t>Trading</t>
  </si>
  <si>
    <t>Construction</t>
  </si>
  <si>
    <t>Total</t>
  </si>
  <si>
    <t>(Company No.: 11106-V)</t>
  </si>
  <si>
    <t>NOTES TO THE UNAUDITED FINANCIAL STATEMENTS</t>
  </si>
  <si>
    <t>Accounting Policies</t>
  </si>
  <si>
    <t>Profits / (Losses) on Sale of Investment and/or Properties</t>
  </si>
  <si>
    <t>Quoted Securities</t>
  </si>
  <si>
    <t>Changes in the Composition of the Group</t>
  </si>
  <si>
    <t>Status of Corporate Proposals</t>
  </si>
  <si>
    <t>Details of Issuances and Repayment of Debt</t>
  </si>
  <si>
    <t>Group Borrowings and Debt Securities</t>
  </si>
  <si>
    <t>RM '000</t>
  </si>
  <si>
    <t xml:space="preserve">     Secured</t>
  </si>
  <si>
    <t xml:space="preserve">     Unsecured</t>
  </si>
  <si>
    <t>Sub - Total</t>
  </si>
  <si>
    <t>B) Short Term Borrowings:</t>
  </si>
  <si>
    <t>A) Long Term Borrowings:</t>
  </si>
  <si>
    <t>Off Balance Sheet Financial Instruments</t>
  </si>
  <si>
    <t>Material Litigation</t>
  </si>
  <si>
    <t>Operating expenses</t>
  </si>
  <si>
    <t>Other operating income</t>
  </si>
  <si>
    <t>Finance costs</t>
  </si>
  <si>
    <t>Minority interest</t>
  </si>
  <si>
    <t>Segmental Reporting</t>
  </si>
  <si>
    <t>Review of Performance</t>
  </si>
  <si>
    <t>Current Year Prospects</t>
  </si>
  <si>
    <t xml:space="preserve">     May 2004, 31 May 2004 and 22 June 2004 respectively.</t>
  </si>
  <si>
    <t>Variance of Actual Profit from Forecast Profit</t>
  </si>
  <si>
    <t>Dividend</t>
  </si>
  <si>
    <t>Company Secretary</t>
  </si>
  <si>
    <t>Kuala Lumpur</t>
  </si>
  <si>
    <t>(The figures have not been audited)</t>
  </si>
  <si>
    <t>Bonus issue</t>
  </si>
  <si>
    <t>Current Taxation</t>
  </si>
  <si>
    <t>There were no material  changes in contingent liabilities/assets  since the last annual balance sheet date.</t>
  </si>
  <si>
    <t>QUARTER</t>
  </si>
  <si>
    <t>Current Assets</t>
  </si>
  <si>
    <t>share cancellations, shares held as treasury shares and resale of treasury shares during the</t>
  </si>
  <si>
    <t>Consolidated Profit &amp; Loss Account as at 31st December 1999</t>
  </si>
  <si>
    <t xml:space="preserve">Although the Group suffered pre -tax loss, the Group still incurred taxation as a result of profits made by certain </t>
  </si>
  <si>
    <t>Group companies which cannot be offset against losses  incurred by certain Group companies as group</t>
  </si>
  <si>
    <t>relief is not available in Malaysia.</t>
  </si>
  <si>
    <t xml:space="preserve"> for the quarter ended 31/12/2004.</t>
  </si>
  <si>
    <t>31/12/2004</t>
  </si>
  <si>
    <t>A) By business segment</t>
  </si>
  <si>
    <t>B) By geographical segment</t>
  </si>
  <si>
    <t>Malaysia</t>
  </si>
  <si>
    <t>Australia</t>
  </si>
  <si>
    <t>Republic of Ghana</t>
  </si>
  <si>
    <t>88.07%/100%</t>
  </si>
  <si>
    <t>WMI%</t>
  </si>
  <si>
    <t>*100% Owned by PSC effective 26/10/1999</t>
  </si>
  <si>
    <t>PROFIT &amp; LOSS ACCOUNTS</t>
  </si>
  <si>
    <t>PSC INDUSTRIES BERHAD (THE GROUP)</t>
  </si>
  <si>
    <t>TURNOVER</t>
  </si>
  <si>
    <t>OPERATING PROFIT</t>
  </si>
  <si>
    <t>EXCEPTIONAL ITEM</t>
  </si>
  <si>
    <t>PROFIT BEFORE TAX</t>
  </si>
  <si>
    <t>TAXATION</t>
  </si>
  <si>
    <t>PROFIT AFTER TAX</t>
  </si>
  <si>
    <t>PROFIT AFTER TAX &amp; MI</t>
  </si>
  <si>
    <t>AUDITED</t>
  </si>
  <si>
    <t>UNAUDITED</t>
  </si>
  <si>
    <t>SCENARIO 1</t>
  </si>
  <si>
    <t>SCENARIO 2</t>
  </si>
  <si>
    <t>SCENARIO 3</t>
  </si>
  <si>
    <t>SCENARIO 4</t>
  </si>
  <si>
    <t>SCENARIO 5</t>
  </si>
  <si>
    <t>b) RM35,618,690 attributable profit recognised from Albania project which need to be written off</t>
  </si>
  <si>
    <t xml:space="preserve">    and should be charged to profit &amp; loss account instead of expenditure carried forward</t>
  </si>
  <si>
    <t>Gain on disposal of subsidiary companies</t>
  </si>
  <si>
    <t>d) RM2,900,000 due from Tohwa Sedap Sdn Bhd shown in PSCI's account which need to be written off</t>
  </si>
  <si>
    <t>a) RM21,495,200 long overdue debtors in PSC's account which need to be written off.</t>
  </si>
  <si>
    <t xml:space="preserve">c) RM3,206,576 expenses carried forward since 1998 for the intended projects which PSC failed to secure in 1999 </t>
  </si>
  <si>
    <t>In total, RM63,220,466 could be add up to the Group losses if the above issues can't be resolved</t>
  </si>
  <si>
    <t xml:space="preserve">With assumption that Business Focus will guarantee profit of 10% for all EPMI project on the ground that this is the </t>
  </si>
  <si>
    <t>1st retrofit project carried out by PSC</t>
  </si>
  <si>
    <t>Trade and other receivables</t>
  </si>
  <si>
    <t>Trade  &amp; other payable</t>
  </si>
  <si>
    <t>Declaration of audit qualification</t>
  </si>
  <si>
    <t>The valuation of property, plant and equipment have been brought forward, without amendment from the</t>
  </si>
  <si>
    <t>DATO' R. RAJAKUMARAN A/L M. RAJADURAI (MAICSA 7003699)</t>
  </si>
  <si>
    <t xml:space="preserve">                          Non distributable</t>
  </si>
  <si>
    <t>Revaluation reserve,</t>
  </si>
  <si>
    <t>exchange fuctuation</t>
  </si>
  <si>
    <t>reserve, capital reserve</t>
  </si>
  <si>
    <t>Share</t>
  </si>
  <si>
    <t>Premium</t>
  </si>
  <si>
    <t>ground that the Group will award the OPV infrastructure work to them.</t>
  </si>
  <si>
    <t>With assumption that Business Focus will absorb the interest on RM105 million loan from PAB.</t>
  </si>
  <si>
    <t>(cost saving = RM10,932,652)</t>
  </si>
  <si>
    <t>Long overdue debtors in PSC's account which need to be written off:</t>
  </si>
  <si>
    <t>Usaha Hebat Sdn Bhd (under liquidation)</t>
  </si>
  <si>
    <t>Lenser Automation Sdn Bhd</t>
  </si>
  <si>
    <t>Lada Langkawi Sdn Bhd</t>
  </si>
  <si>
    <t>Lembaga Tabung Angkatan Tentera</t>
  </si>
  <si>
    <t>Permodalan Perak Berhad</t>
  </si>
  <si>
    <t>Suria Barisan Sdn Bhd</t>
  </si>
  <si>
    <t>UIA project</t>
  </si>
  <si>
    <t>PSC Navitalia</t>
  </si>
  <si>
    <t>MARA Shipyard</t>
  </si>
  <si>
    <t>Penang Marine Club</t>
  </si>
  <si>
    <t>Expenditure carried forward which need to be charged to profit &amp; loss in view of failure to secure the project</t>
  </si>
  <si>
    <t>Shell Sarawak Berhad</t>
  </si>
  <si>
    <t>TOTAL Thailand</t>
  </si>
  <si>
    <t>IPC</t>
  </si>
  <si>
    <t>World Trade Center Tirana, Albania</t>
  </si>
  <si>
    <t>With recognition of forex gain of RM76,510,478 by PSC-Naval Dockyard Sdn Bhd</t>
  </si>
  <si>
    <t>(profit@cost saving = RM27,967,161)</t>
  </si>
  <si>
    <t>(profit@cost saving = RM4,265,361)</t>
  </si>
  <si>
    <t xml:space="preserve">     2004 respectively.  On 11 October 2004, Bursa Malaysia Securities Berhad had approved in-principle</t>
  </si>
  <si>
    <t>With OPV profit assumed of RM65,801,368 and on the assumptions that the following issues can be resolved:-</t>
  </si>
  <si>
    <t>With assumption that Magnani will guarantee profit of 10% for all UDA project, Bayan Lepas and TAT 1,2&amp;3 on the</t>
  </si>
  <si>
    <t>Comment on Financial Results (current quarter compared with the preceding quarter)</t>
  </si>
  <si>
    <t>Interest income</t>
  </si>
  <si>
    <t>Financial Statements for the year ended 31 December 2003)</t>
  </si>
  <si>
    <t xml:space="preserve"> Statements for the year ended 31 December 2003)</t>
  </si>
  <si>
    <t>Private placement of 15,825,000</t>
  </si>
  <si>
    <t>ordinary shares at RM5.40 each</t>
  </si>
  <si>
    <t>Expenses on private placement</t>
  </si>
  <si>
    <t>Reporting and Chapter 9 part K of the Listing Requirements of Bursa Malaysia Securities Berhad</t>
  </si>
  <si>
    <t>(formerly known as Malaysia Securities Exchange Berhad).  The same accounting policies and methods</t>
  </si>
  <si>
    <t>of computation are followed in the interim financial statements as compared with the annual</t>
  </si>
  <si>
    <t>The interim financial report is to be read in conjunction with the most recent annual financial statements.</t>
  </si>
  <si>
    <t>annual financial statements for the financial year ended  31 December 2003.</t>
  </si>
  <si>
    <t>Deferred expenditure written off</t>
  </si>
  <si>
    <t>(Loss)/Profit from Operations</t>
  </si>
  <si>
    <t>(Loss)/Profit before tax</t>
  </si>
  <si>
    <t>Net (loss)/profit for the period</t>
  </si>
  <si>
    <t xml:space="preserve">     The revised proposals which was announced on 10 March 2004 was approved by the Shareholders,</t>
  </si>
  <si>
    <t>Provision for cost escalation</t>
  </si>
  <si>
    <t>Offshore Patrol Vessels project</t>
  </si>
  <si>
    <t>(Loss)/Profit after tax</t>
  </si>
  <si>
    <t>Net profit  for the year</t>
  </si>
  <si>
    <t xml:space="preserve"> income statements</t>
  </si>
  <si>
    <t xml:space="preserve"> -Realisation of revaluation reserve </t>
  </si>
  <si>
    <t>Net loss  for the year</t>
  </si>
  <si>
    <t xml:space="preserve">ADDITIONAL INFORMATION AS REQUIRED BY BMSB LISTING REQUIREMENTS </t>
  </si>
  <si>
    <t>(PART A OF APPENDIX 9B)</t>
  </si>
  <si>
    <t>Barring any unforeseen circumstances, the Board of Directors expects the Group's operating environment</t>
  </si>
  <si>
    <t>There were significant reversal of provision for taxation  for the Group made  in previous years as a subsidiary</t>
  </si>
  <si>
    <t xml:space="preserve">company had obtained approval from Ministry of Finance a tax exemption under Section 127 of Income Tax Act, </t>
  </si>
  <si>
    <t xml:space="preserve">1967 where the income generated in relation to the Offshore Patrol Vessel project has been tax exempted for a </t>
  </si>
  <si>
    <t>and currency differences for</t>
  </si>
  <si>
    <t xml:space="preserve">for cost escalation and exchange differences for Offshore Patrol Vessel project amounting to RM349.8 </t>
  </si>
  <si>
    <t xml:space="preserve">for cost escalation and exchange differences for Offshore Patrol Vessel Project has contributed to the Group's </t>
  </si>
  <si>
    <t>a.</t>
  </si>
  <si>
    <t>b.</t>
  </si>
  <si>
    <t>c.</t>
  </si>
  <si>
    <t>d.</t>
  </si>
  <si>
    <t>e.</t>
  </si>
  <si>
    <t>f.</t>
  </si>
  <si>
    <t xml:space="preserve">provision for cost escalation and exchange differences for Offshore Patrol Vessel project, writing off </t>
  </si>
  <si>
    <t xml:space="preserve">     i)   Original Contract Price of MES as stated in the OPV contract; and</t>
  </si>
  <si>
    <t xml:space="preserve">     ii)  Actual price contracted with MES suppliers during the implementation of OPV contract.</t>
  </si>
  <si>
    <t xml:space="preserve">      acknowledges that the award of the OPV contract, which encompass of the design, procurement, construction,</t>
  </si>
  <si>
    <t>of  RM391,597,000 over the weighted number of 171,445,848 ordinary shares  in issue during the financial year</t>
  </si>
  <si>
    <t xml:space="preserve">- Realisation of currency translation </t>
  </si>
  <si>
    <t xml:space="preserve">Significant Information  </t>
  </si>
  <si>
    <t xml:space="preserve">     Ministry of International Trade and Industry ("MITI") and Foreign Investment Committee on 17 </t>
  </si>
  <si>
    <t xml:space="preserve">     As announced on 4 October 2004, certain variation were made to the revised proposals ("amended revised </t>
  </si>
  <si>
    <t xml:space="preserve">     proposals") which was approved by MITI and Securities Commission  on 26 August 2004 and 21 September</t>
  </si>
  <si>
    <t xml:space="preserve">      fitting and commissioning of 27 OPVs (of which 6 has been awarded ) is a critical factor to the implementation of the</t>
  </si>
  <si>
    <t xml:space="preserve">      privatisation of PSCND. The claim for loss of profit amounts to RM3.745 billion payable on yearly basis at RM208.05</t>
  </si>
  <si>
    <t>g.</t>
  </si>
  <si>
    <t>The Company and its subsidiary companies, Penang Shipbuilding &amp; Construction Sdn Bhd ("PSCSB"), PSC</t>
  </si>
  <si>
    <t xml:space="preserve">(a) On 30 September 2004, PSC-Naval Dockyard Sdn Bhd ("PSCND"), a subsidiary company of PSC Industries </t>
  </si>
  <si>
    <t xml:space="preserve">     in the price of  Major Equipment System ("MES") under the Offshore Patrol Vessel ("OPV") contract dated </t>
  </si>
  <si>
    <t>Ltd for the current financial quarter ended 31 December 2004.</t>
  </si>
  <si>
    <t>the Board of Directors are of the opinion that these information is vital to the stakeholders and has material impact of the</t>
  </si>
  <si>
    <t xml:space="preserve">      million commencing from year 2004 until year 2021, which is the end of the Lumut yard leasing period. The amount of </t>
  </si>
  <si>
    <t xml:space="preserve">to be very competitive and extremely difficult without the continued support from the Government of Malaysia </t>
  </si>
  <si>
    <t>implementation plan which is within the remaining lease period of 18 years of Lumut Dockyard. Additionally,</t>
  </si>
  <si>
    <t>totalling approximately RM110 million.             .</t>
  </si>
  <si>
    <t>business is critical.</t>
  </si>
  <si>
    <t>the support from the GoM in respect of Rights Granted to provide the continued maintenance and shiprepair</t>
  </si>
  <si>
    <t xml:space="preserve">secured several other contracts, the revenue generated was insufficient to maintain the previous year performance. </t>
  </si>
  <si>
    <t>The lower performance together with the high finance costs, provision for doubtful debts and provision</t>
  </si>
  <si>
    <t xml:space="preserve">     Notwithstanding the above, Affin Bank Berhad ("ABB"), a party to the amended revised proposals, </t>
  </si>
  <si>
    <t xml:space="preserve">     has terminated the  Sale &amp; Purchase Agreement with BF Capital Sdn Bhd ("BFC") pursuant to </t>
  </si>
  <si>
    <t xml:space="preserve">     1 November 2004. ABB had stated that they will  proceed with civil action for the recovery</t>
  </si>
  <si>
    <t xml:space="preserve">   prior years</t>
  </si>
  <si>
    <t xml:space="preserve">Overprovision in respect of </t>
  </si>
  <si>
    <t xml:space="preserve">  taxation</t>
  </si>
  <si>
    <t>Transfer (to)/from deferred</t>
  </si>
  <si>
    <t xml:space="preserve">                                                                                    SELECTED EXPLANATORY NOTES TO THE INTERIM FINANCIAL REPORT - MASB 26</t>
  </si>
  <si>
    <t>INDIVIDUAL</t>
  </si>
  <si>
    <t>The decline in the Group's  turnover for the current quarter and for the financial year ended  31 December 2004</t>
  </si>
  <si>
    <t xml:space="preserve">was due mainly  to the lower contribution from the Offshore Patrol Vessel activities. Although the Group </t>
  </si>
  <si>
    <t>construction contract from Thailand, oil and gas retrofit and engineering contracts from Qatar and Sudan</t>
  </si>
  <si>
    <t xml:space="preserve">   USD32,036</t>
  </si>
  <si>
    <t>has established representative offices in several countries. The Group so far has successfully secured</t>
  </si>
  <si>
    <t>Notwithstanding the above, the Group has embarked on business ventures overseas. To date, the Company</t>
  </si>
  <si>
    <t>There has not arisen in the interval between the end of the current quarter  and the date of this announcement,</t>
  </si>
  <si>
    <t>any item, transaction or event of a material and unusual nature likely, in the opinion of the Directors,</t>
  </si>
  <si>
    <t>to affect substantially the results of the operation of the Company and of the Group for the financial quarter</t>
  </si>
  <si>
    <t>ended 31 December 2004 in respect of which this announcement is made.</t>
  </si>
  <si>
    <t xml:space="preserve"> Offshore Patrol Vessels project</t>
  </si>
  <si>
    <t xml:space="preserve">     On 10 January 2005, the Securities Commission has rejected the Company's application for an</t>
  </si>
  <si>
    <t xml:space="preserve">     extension of the deadline to complete the amended revised proposals. As such, the amended </t>
  </si>
  <si>
    <t xml:space="preserve">     revised proposals is void.</t>
  </si>
  <si>
    <t xml:space="preserve">     Meanwhile, the Group is aggresively and pro-actively pursuing various options to repay/restructure the Group debts </t>
  </si>
  <si>
    <t xml:space="preserve">     alternatives with respect to its operations and capital structure.</t>
  </si>
  <si>
    <t xml:space="preserve">     obligations. In this regard, the Group will be appointing consultants and/or financial advisors  to study various </t>
  </si>
  <si>
    <t>The following information and the related amount did not form part of the Group's  financial statements. However,</t>
  </si>
  <si>
    <t>Group's financial statements should it be included.</t>
  </si>
  <si>
    <t xml:space="preserve">     Berhad has raised an invoice to Government Of Malaysia ("GoM") amounting to RM353.9 million for  increase </t>
  </si>
  <si>
    <t xml:space="preserve">     5 September 1998. The invoice  was raised to the GoM as the MES suppliers were selected and appointed </t>
  </si>
  <si>
    <t xml:space="preserve">     by the GoM. The invoice represents differences between:-</t>
  </si>
  <si>
    <t xml:space="preserve">     On 18 February 2005, the GoM has rejected PSCND's claim. However, PSCND is appealing against the decision.</t>
  </si>
  <si>
    <t xml:space="preserve">(b)  PSCND will be claimimg from the GoM for the loss of profit due to the delay in awarding of the remaining 21 OPVs as </t>
  </si>
  <si>
    <t xml:space="preserve">      per the Privatisation Agreeement dated 11 December 1995. Under the Privatisation Agreeement, the GoM </t>
  </si>
  <si>
    <t xml:space="preserve">If the GoM approved the above claims and the amount is included in the books of the Group for the financial year </t>
  </si>
  <si>
    <t>ended 31 December 2004, the  performance of the Group will improve materially.</t>
  </si>
  <si>
    <t xml:space="preserve">      RM3.745 billion is the minimum amount assuming that the price and specification of the remaining 21 OPVs is the </t>
  </si>
  <si>
    <t xml:space="preserve">      same as per the 6 OPVs awarded. However, if the GoM continue to support by implementing/awarding the  remaining</t>
  </si>
  <si>
    <t xml:space="preserve">      21 OPVs in accordance with the Group's implementation plan, which is within the remaining lease period of 18 years</t>
  </si>
  <si>
    <t>("GoM") to implement/award the remaining  21 Offshore Patrol Vessel in accordance with the Group's</t>
  </si>
  <si>
    <t>Bumiputra Commerce Bank Bhd</t>
  </si>
  <si>
    <t xml:space="preserve">      of Lumut Dockyard, then the claim of loss of profit does not arise.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</si>
</sst>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&quot;$&quot;#,##0\ ;\(&quot;$&quot;#,##0\)"/>
    <numFmt numFmtId="183" formatCode="m/d"/>
    <numFmt numFmtId="184" formatCode="#,##0.000_);[Red]\(#,##0.000\)"/>
    <numFmt numFmtId="185" formatCode="#,##0_ ;[Red]\-#,##0\ "/>
    <numFmt numFmtId="186" formatCode="#,##0.0_ ;[Red]\-#,##0.0\ "/>
    <numFmt numFmtId="187" formatCode="#,##0.00_ ;[Red]\-#,##0.00\ "/>
    <numFmt numFmtId="188" formatCode="#,##0.000_ ;[Red]\-#,##0.000\ "/>
    <numFmt numFmtId="189" formatCode="\(#,##0_)\ ;[Red]\-#,##0\ "/>
    <numFmt numFmtId="190" formatCode="\(#,##0_)\ ;[Red]\(#,##0\)\ "/>
    <numFmt numFmtId="191" formatCode="_(* #,##0.000_);_(* \(#,##0.000\);_(* &quot;-&quot;??_);_(@_)"/>
    <numFmt numFmtId="192" formatCode="0.000%"/>
    <numFmt numFmtId="193" formatCode="dd\-mmm\-yy"/>
    <numFmt numFmtId="194" formatCode="d\-mmm\-yyyy"/>
    <numFmt numFmtId="195" formatCode="0.00000"/>
    <numFmt numFmtId="196" formatCode="_ * #,##0_ ;_ * \-#,##0_ ;_ * &quot;-&quot;??_ ;_ @_ "/>
    <numFmt numFmtId="197" formatCode="_(* #,##0.0000_);_(* \(#,##0.0000\);_(* &quot;-&quot;??_);_(@_)"/>
    <numFmt numFmtId="198" formatCode="_(* #,##0.000000_);_(* \(#,##0.000000\);_(* &quot;-&quot;??_);_(@_)"/>
    <numFmt numFmtId="199" formatCode="#,##0.0_);[Red]\(#,##0.0\)"/>
    <numFmt numFmtId="200" formatCode="_(* #,##0.0_);_(* \(#,##0.0\);_(* &quot;-&quot;?_);_(@_)"/>
    <numFmt numFmtId="201" formatCode="_(* #,##0.0000_);_(* \(#,##0.0000\);_(* &quot;-&quot;????_);_(@_)"/>
    <numFmt numFmtId="202" formatCode="_(* #,##0.00000_);_(* \(#,##0.00000\);_(* &quot;-&quot;?????_);_(@_)"/>
    <numFmt numFmtId="203" formatCode="0.00_);[Red]\(0.00\)"/>
    <numFmt numFmtId="204" formatCode="0.0_);[Red]\(0.0\)"/>
    <numFmt numFmtId="205" formatCode="#,##0.0_);\(#,##0.0\)"/>
    <numFmt numFmtId="206" formatCode="#,##0.000_);\(#,##0.000\)"/>
    <numFmt numFmtId="207" formatCode="_-* #,##0.0000_-;\-* #,##0.0000_-;_-* &quot;-&quot;????_-;_-@_-"/>
    <numFmt numFmtId="208" formatCode="&quot;L.&quot;\ #,##0.00;[Red]\-&quot;L.&quot;\ #,##0.00"/>
    <numFmt numFmtId="209" formatCode="#,##0\ &quot;F&quot;;[Red]\-#,##0\ &quot;F&quot;"/>
    <numFmt numFmtId="210" formatCode="#,##0.00\ &quot;F&quot;;[Red]\-#,##0.00\ &quot;F&quot;"/>
    <numFmt numFmtId="211" formatCode="[hhhhh]:mm:ss"/>
    <numFmt numFmtId="212" formatCode="#,##0;[Red]#,##0"/>
    <numFmt numFmtId="213" formatCode="_(&quot;$&quot;* #,##0_);_(&quot;$&quot;* \(#,##0\);_(&quot;$&quot;* &quot;-  &quot;_);_(@_)"/>
    <numFmt numFmtId="214" formatCode="_(* #,##0_);_(* \(#,##0\);_(* &quot;-  &quot;_);_(@_)"/>
    <numFmt numFmtId="215" formatCode="_(&quot;$&quot;* #,##0.0_);_(&quot;$&quot;* \(#,##0.0\);_(&quot;$&quot;* &quot;-&quot;??_);_(@_)"/>
    <numFmt numFmtId="216" formatCode="_(&quot;$&quot;* #,##0_);_(&quot;$&quot;* \(#,##0\);_(&quot;$&quot;* &quot;-&quot;??_);_(@_)"/>
    <numFmt numFmtId="217" formatCode="_(&quot;$&quot;* #,##0.000_);_(&quot;$&quot;* \(#,##0.000\);_(&quot;$&quot;* &quot;-&quot;??_);_(@_)"/>
    <numFmt numFmtId="218" formatCode="_(&quot;$&quot;* #,##0.0000_);_(&quot;$&quot;* \(#,##0.0000\);_(&quot;$&quot;* &quot;-&quot;??_);_(@_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_(* #,##0.00000_);_(* \(#,##0.00000\);_(* &quot;-&quot;??_);_(@_)"/>
    <numFmt numFmtId="223" formatCode="dd/mm/yyyy"/>
    <numFmt numFmtId="224" formatCode="0.000_);[Red]\(0.00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0" fillId="0" borderId="0" xfId="15" applyNumberFormat="1" applyAlignment="1">
      <alignment/>
    </xf>
    <xf numFmtId="180" fontId="0" fillId="0" borderId="2" xfId="15" applyNumberFormat="1" applyBorder="1" applyAlignment="1">
      <alignment/>
    </xf>
    <xf numFmtId="180" fontId="0" fillId="0" borderId="3" xfId="15" applyNumberFormat="1" applyBorder="1" applyAlignment="1">
      <alignment/>
    </xf>
    <xf numFmtId="180" fontId="0" fillId="0" borderId="4" xfId="15" applyNumberFormat="1" applyBorder="1" applyAlignment="1">
      <alignment/>
    </xf>
    <xf numFmtId="180" fontId="0" fillId="0" borderId="0" xfId="15" applyNumberForma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5" xfId="15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9" fontId="0" fillId="0" borderId="13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4" xfId="15" applyNumberFormat="1" applyBorder="1" applyAlignment="1">
      <alignment/>
    </xf>
    <xf numFmtId="180" fontId="0" fillId="0" borderId="15" xfId="15" applyNumberFormat="1" applyBorder="1" applyAlignment="1">
      <alignment/>
    </xf>
    <xf numFmtId="180" fontId="1" fillId="0" borderId="16" xfId="15" applyNumberFormat="1" applyFont="1" applyBorder="1" applyAlignment="1">
      <alignment/>
    </xf>
    <xf numFmtId="9" fontId="1" fillId="0" borderId="12" xfId="29" applyFont="1" applyBorder="1" applyAlignment="1">
      <alignment horizontal="center"/>
    </xf>
    <xf numFmtId="180" fontId="0" fillId="0" borderId="13" xfId="15" applyNumberFormat="1" applyBorder="1" applyAlignment="1">
      <alignment/>
    </xf>
    <xf numFmtId="180" fontId="0" fillId="0" borderId="6" xfId="15" applyNumberFormat="1" applyBorder="1" applyAlignment="1">
      <alignment/>
    </xf>
    <xf numFmtId="180" fontId="1" fillId="0" borderId="12" xfId="15" applyNumberFormat="1" applyFont="1" applyBorder="1" applyAlignment="1">
      <alignment/>
    </xf>
    <xf numFmtId="180" fontId="0" fillId="0" borderId="17" xfId="15" applyNumberFormat="1" applyBorder="1" applyAlignment="1">
      <alignment/>
    </xf>
    <xf numFmtId="180" fontId="0" fillId="0" borderId="18" xfId="15" applyNumberFormat="1" applyBorder="1" applyAlignment="1">
      <alignment/>
    </xf>
    <xf numFmtId="180" fontId="1" fillId="0" borderId="19" xfId="15" applyNumberFormat="1" applyFont="1" applyBorder="1" applyAlignment="1">
      <alignment/>
    </xf>
    <xf numFmtId="180" fontId="0" fillId="0" borderId="13" xfId="15" applyNumberFormat="1" applyFill="1" applyBorder="1" applyAlignment="1">
      <alignment/>
    </xf>
    <xf numFmtId="180" fontId="0" fillId="0" borderId="18" xfId="15" applyNumberFormat="1" applyFont="1" applyBorder="1" applyAlignment="1">
      <alignment/>
    </xf>
    <xf numFmtId="0" fontId="1" fillId="0" borderId="20" xfId="0" applyFont="1" applyBorder="1" applyAlignment="1">
      <alignment/>
    </xf>
    <xf numFmtId="180" fontId="0" fillId="0" borderId="21" xfId="15" applyNumberFormat="1" applyBorder="1" applyAlignment="1">
      <alignment/>
    </xf>
    <xf numFmtId="180" fontId="0" fillId="0" borderId="22" xfId="15" applyNumberFormat="1" applyBorder="1" applyAlignment="1">
      <alignment/>
    </xf>
    <xf numFmtId="180" fontId="1" fillId="0" borderId="20" xfId="15" applyNumberFormat="1" applyFont="1" applyBorder="1" applyAlignment="1">
      <alignment/>
    </xf>
    <xf numFmtId="9" fontId="1" fillId="0" borderId="20" xfId="29" applyFont="1" applyBorder="1" applyAlignment="1">
      <alignment horizontal="center"/>
    </xf>
    <xf numFmtId="0" fontId="7" fillId="0" borderId="0" xfId="0" applyFont="1" applyAlignment="1">
      <alignment/>
    </xf>
    <xf numFmtId="180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80" fontId="0" fillId="0" borderId="27" xfId="15" applyNumberFormat="1" applyBorder="1" applyAlignment="1">
      <alignment/>
    </xf>
    <xf numFmtId="180" fontId="0" fillId="0" borderId="0" xfId="0" applyNumberFormat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180" fontId="0" fillId="0" borderId="35" xfId="15" applyNumberFormat="1" applyBorder="1" applyAlignment="1">
      <alignment/>
    </xf>
    <xf numFmtId="180" fontId="0" fillId="0" borderId="34" xfId="15" applyNumberFormat="1" applyBorder="1" applyAlignment="1">
      <alignment/>
    </xf>
    <xf numFmtId="180" fontId="0" fillId="0" borderId="36" xfId="15" applyNumberFormat="1" applyBorder="1" applyAlignment="1">
      <alignment/>
    </xf>
    <xf numFmtId="180" fontId="0" fillId="0" borderId="37" xfId="15" applyNumberFormat="1" applyBorder="1" applyAlignment="1">
      <alignment/>
    </xf>
    <xf numFmtId="180" fontId="0" fillId="0" borderId="38" xfId="15" applyNumberFormat="1" applyBorder="1" applyAlignment="1">
      <alignment/>
    </xf>
    <xf numFmtId="41" fontId="0" fillId="0" borderId="18" xfId="15" applyNumberForma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31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80" fontId="7" fillId="0" borderId="34" xfId="15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12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80" fontId="7" fillId="0" borderId="12" xfId="15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0" fontId="7" fillId="0" borderId="0" xfId="15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9" xfId="0" applyFont="1" applyBorder="1" applyAlignment="1">
      <alignment/>
    </xf>
    <xf numFmtId="180" fontId="8" fillId="0" borderId="33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33" xfId="0" applyFont="1" applyBorder="1" applyAlignment="1">
      <alignment/>
    </xf>
    <xf numFmtId="180" fontId="7" fillId="0" borderId="41" xfId="15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3" xfId="0" applyFont="1" applyBorder="1" applyAlignment="1">
      <alignment/>
    </xf>
    <xf numFmtId="180" fontId="8" fillId="0" borderId="33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38" fontId="0" fillId="0" borderId="42" xfId="0" applyNumberFormat="1" applyBorder="1" applyAlignment="1">
      <alignment/>
    </xf>
    <xf numFmtId="38" fontId="0" fillId="0" borderId="0" xfId="0" applyNumberFormat="1" applyBorder="1" applyAlignment="1">
      <alignment/>
    </xf>
    <xf numFmtId="180" fontId="0" fillId="0" borderId="0" xfId="15" applyNumberForma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0" fillId="0" borderId="28" xfId="15" applyNumberFormat="1" applyBorder="1" applyAlignment="1">
      <alignment/>
    </xf>
    <xf numFmtId="40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0" fontId="0" fillId="0" borderId="27" xfId="15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23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38" fontId="0" fillId="0" borderId="28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8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185" fontId="0" fillId="0" borderId="5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80" fontId="0" fillId="0" borderId="3" xfId="0" applyNumberFormat="1" applyFill="1" applyBorder="1" applyAlignment="1">
      <alignment/>
    </xf>
    <xf numFmtId="180" fontId="0" fillId="0" borderId="6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27" xfId="0" applyNumberFormat="1" applyFill="1" applyBorder="1" applyAlignment="1">
      <alignment/>
    </xf>
    <xf numFmtId="180" fontId="0" fillId="0" borderId="25" xfId="0" applyNumberFormat="1" applyFill="1" applyBorder="1" applyAlignment="1">
      <alignment/>
    </xf>
    <xf numFmtId="180" fontId="0" fillId="0" borderId="4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44" xfId="0" applyNumberFormat="1" applyBorder="1" applyAlignment="1">
      <alignment/>
    </xf>
    <xf numFmtId="180" fontId="0" fillId="0" borderId="45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46" xfId="0" applyNumberFormat="1" applyFill="1" applyBorder="1" applyAlignment="1">
      <alignment/>
    </xf>
    <xf numFmtId="15" fontId="10" fillId="0" borderId="0" xfId="0" applyNumberFormat="1" applyFont="1" applyAlignment="1" quotePrefix="1">
      <alignment horizontal="left"/>
    </xf>
    <xf numFmtId="180" fontId="0" fillId="0" borderId="0" xfId="0" applyNumberFormat="1" applyAlignment="1">
      <alignment horizontal="right"/>
    </xf>
    <xf numFmtId="0" fontId="1" fillId="0" borderId="46" xfId="0" applyFont="1" applyBorder="1" applyAlignment="1">
      <alignment/>
    </xf>
    <xf numFmtId="180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" fillId="0" borderId="4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180" fontId="0" fillId="0" borderId="0" xfId="18" applyNumberFormat="1" applyAlignment="1">
      <alignment/>
    </xf>
    <xf numFmtId="180" fontId="0" fillId="0" borderId="28" xfId="0" applyNumberFormat="1" applyBorder="1" applyAlignment="1">
      <alignment/>
    </xf>
    <xf numFmtId="180" fontId="0" fillId="0" borderId="42" xfId="0" applyNumberFormat="1" applyBorder="1" applyAlignment="1">
      <alignment/>
    </xf>
    <xf numFmtId="38" fontId="3" fillId="0" borderId="0" xfId="17" applyNumberFormat="1" applyFont="1" applyAlignment="1">
      <alignment/>
    </xf>
    <xf numFmtId="180" fontId="0" fillId="0" borderId="27" xfId="17" applyNumberFormat="1" applyBorder="1" applyAlignment="1">
      <alignment/>
    </xf>
    <xf numFmtId="38" fontId="0" fillId="0" borderId="0" xfId="17" applyNumberFormat="1" applyFont="1" applyAlignment="1">
      <alignment/>
    </xf>
    <xf numFmtId="180" fontId="0" fillId="0" borderId="3" xfId="17" applyNumberFormat="1" applyBorder="1" applyAlignment="1">
      <alignment/>
    </xf>
    <xf numFmtId="180" fontId="0" fillId="0" borderId="3" xfId="17" applyNumberFormat="1" applyFont="1" applyBorder="1" applyAlignment="1">
      <alignment horizontal="right"/>
    </xf>
    <xf numFmtId="180" fontId="0" fillId="0" borderId="27" xfId="17" applyNumberFormat="1" applyFont="1" applyBorder="1" applyAlignment="1">
      <alignment/>
    </xf>
    <xf numFmtId="180" fontId="0" fillId="0" borderId="3" xfId="17" applyNumberFormat="1" applyFont="1" applyBorder="1" applyAlignment="1">
      <alignment/>
    </xf>
    <xf numFmtId="180" fontId="1" fillId="0" borderId="47" xfId="17" applyNumberFormat="1" applyFont="1" applyBorder="1" applyAlignment="1">
      <alignment/>
    </xf>
    <xf numFmtId="180" fontId="0" fillId="0" borderId="4" xfId="17" applyNumberFormat="1" applyFont="1" applyBorder="1" applyAlignment="1">
      <alignment/>
    </xf>
    <xf numFmtId="180" fontId="1" fillId="0" borderId="0" xfId="17" applyNumberFormat="1" applyFont="1" applyBorder="1" applyAlignment="1">
      <alignment/>
    </xf>
    <xf numFmtId="180" fontId="1" fillId="0" borderId="46" xfId="17" applyNumberFormat="1" applyFont="1" applyBorder="1" applyAlignment="1">
      <alignment/>
    </xf>
    <xf numFmtId="38" fontId="1" fillId="0" borderId="0" xfId="17" applyNumberFormat="1" applyFont="1" applyAlignment="1">
      <alignment horizontal="center"/>
    </xf>
    <xf numFmtId="38" fontId="0" fillId="0" borderId="0" xfId="17" applyNumberFormat="1" applyFont="1" applyAlignment="1">
      <alignment horizontal="center"/>
    </xf>
    <xf numFmtId="180" fontId="0" fillId="0" borderId="0" xfId="17" applyNumberFormat="1" applyFont="1" applyAlignment="1">
      <alignment horizontal="right"/>
    </xf>
    <xf numFmtId="180" fontId="0" fillId="0" borderId="0" xfId="17" applyNumberFormat="1" applyFont="1" applyAlignment="1">
      <alignment/>
    </xf>
    <xf numFmtId="180" fontId="0" fillId="0" borderId="0" xfId="17" applyNumberFormat="1" applyFont="1" applyBorder="1" applyAlignment="1">
      <alignment/>
    </xf>
    <xf numFmtId="180" fontId="1" fillId="0" borderId="5" xfId="17" applyNumberFormat="1" applyFont="1" applyBorder="1" applyAlignment="1">
      <alignment/>
    </xf>
    <xf numFmtId="38" fontId="7" fillId="0" borderId="0" xfId="17" applyNumberFormat="1" applyFont="1" applyAlignment="1">
      <alignment/>
    </xf>
    <xf numFmtId="180" fontId="0" fillId="0" borderId="3" xfId="17" applyNumberFormat="1" applyFont="1" applyBorder="1" applyAlignment="1">
      <alignment horizontal="center"/>
    </xf>
    <xf numFmtId="180" fontId="1" fillId="0" borderId="3" xfId="17" applyNumberFormat="1" applyFont="1" applyBorder="1" applyAlignment="1">
      <alignment horizontal="center"/>
    </xf>
    <xf numFmtId="180" fontId="3" fillId="0" borderId="3" xfId="17" applyNumberFormat="1" applyFont="1" applyBorder="1" applyAlignment="1">
      <alignment horizontal="center"/>
    </xf>
    <xf numFmtId="180" fontId="1" fillId="0" borderId="10" xfId="17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5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5" xfId="0" applyFont="1" applyBorder="1" applyAlignment="1">
      <alignment/>
    </xf>
    <xf numFmtId="180" fontId="1" fillId="0" borderId="45" xfId="17" applyNumberFormat="1" applyFont="1" applyBorder="1" applyAlignment="1">
      <alignment/>
    </xf>
    <xf numFmtId="180" fontId="1" fillId="0" borderId="0" xfId="17" applyNumberFormat="1" applyFont="1" applyBorder="1" applyAlignment="1">
      <alignment horizontal="center"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80" fontId="1" fillId="0" borderId="27" xfId="17" applyNumberFormat="1" applyFont="1" applyBorder="1" applyAlignment="1">
      <alignment/>
    </xf>
    <xf numFmtId="180" fontId="0" fillId="0" borderId="6" xfId="17" applyNumberFormat="1" applyFont="1" applyBorder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4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0" fontId="0" fillId="0" borderId="26" xfId="0" applyNumberFormat="1" applyBorder="1" applyAlignment="1">
      <alignment/>
    </xf>
    <xf numFmtId="180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39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194" fontId="6" fillId="0" borderId="0" xfId="0" applyNumberFormat="1" applyFont="1" applyAlignment="1" quotePrefix="1">
      <alignment horizontal="right"/>
    </xf>
    <xf numFmtId="38" fontId="0" fillId="0" borderId="5" xfId="0" applyNumberFormat="1" applyBorder="1" applyAlignment="1">
      <alignment/>
    </xf>
    <xf numFmtId="180" fontId="0" fillId="0" borderId="0" xfId="0" applyNumberFormat="1" applyFill="1" applyAlignment="1">
      <alignment/>
    </xf>
    <xf numFmtId="0" fontId="0" fillId="0" borderId="26" xfId="0" applyFont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180" fontId="0" fillId="0" borderId="3" xfId="0" applyNumberFormat="1" applyFont="1" applyBorder="1" applyAlignment="1">
      <alignment/>
    </xf>
    <xf numFmtId="180" fontId="0" fillId="0" borderId="3" xfId="15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2" xfId="0" applyFont="1" applyBorder="1" applyAlignment="1">
      <alignment/>
    </xf>
    <xf numFmtId="180" fontId="0" fillId="0" borderId="0" xfId="18" applyNumberFormat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180" fontId="0" fillId="0" borderId="4" xfId="15" applyNumberFormat="1" applyFont="1" applyBorder="1" applyAlignment="1">
      <alignment/>
    </xf>
    <xf numFmtId="14" fontId="1" fillId="0" borderId="0" xfId="0" applyNumberFormat="1" applyFont="1" applyAlignment="1">
      <alignment horizontal="right"/>
    </xf>
    <xf numFmtId="38" fontId="1" fillId="0" borderId="0" xfId="17" applyNumberFormat="1" applyFont="1" applyAlignment="1">
      <alignment horizontal="right"/>
    </xf>
    <xf numFmtId="0" fontId="15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0" fillId="0" borderId="42" xfId="0" applyNumberFormat="1" applyFill="1" applyBorder="1" applyAlignment="1">
      <alignment/>
    </xf>
    <xf numFmtId="49" fontId="0" fillId="0" borderId="45" xfId="0" applyNumberForma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5" xfId="0" applyFill="1" applyBorder="1" applyAlignment="1">
      <alignment/>
    </xf>
    <xf numFmtId="0" fontId="4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44" xfId="0" applyFont="1" applyBorder="1" applyAlignment="1">
      <alignment horizontal="center"/>
    </xf>
  </cellXfs>
  <cellStyles count="17">
    <cellStyle name="Normal" xfId="0"/>
    <cellStyle name="Comma" xfId="15"/>
    <cellStyle name="Comma [0]" xfId="16"/>
    <cellStyle name="Comma_4thQTR03" xfId="17"/>
    <cellStyle name="Comma_KLSEQR" xfId="18"/>
    <cellStyle name="Comma0" xfId="19"/>
    <cellStyle name="Currency" xfId="20"/>
    <cellStyle name="Currency [0]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4" customWidth="1"/>
    <col min="11" max="11" width="14.421875" style="0" customWidth="1"/>
    <col min="12" max="14" width="14.421875" style="0" hidden="1" customWidth="1"/>
    <col min="15" max="15" width="3.421875" style="14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4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78</v>
      </c>
      <c r="V1" s="2" t="s">
        <v>179</v>
      </c>
    </row>
    <row r="2" spans="1:22" ht="15.75">
      <c r="A2" s="2" t="s">
        <v>291</v>
      </c>
      <c r="V2" s="2" t="s">
        <v>291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89"/>
      <c r="B4" s="16" t="s">
        <v>80</v>
      </c>
      <c r="C4" s="17" t="s">
        <v>81</v>
      </c>
      <c r="D4" s="17" t="s">
        <v>82</v>
      </c>
      <c r="E4" s="17" t="s">
        <v>83</v>
      </c>
      <c r="F4" s="17" t="s">
        <v>84</v>
      </c>
      <c r="G4" s="17" t="s">
        <v>85</v>
      </c>
      <c r="H4" s="17" t="s">
        <v>86</v>
      </c>
      <c r="I4" s="93" t="s">
        <v>197</v>
      </c>
      <c r="J4" s="18"/>
      <c r="K4" s="19" t="s">
        <v>198</v>
      </c>
      <c r="L4" s="20" t="s">
        <v>199</v>
      </c>
      <c r="M4" s="20"/>
      <c r="N4" s="19" t="s">
        <v>198</v>
      </c>
      <c r="O4" s="18"/>
      <c r="P4" s="18"/>
      <c r="Q4" s="19" t="s">
        <v>170</v>
      </c>
      <c r="R4" s="18"/>
      <c r="S4" s="21" t="s">
        <v>169</v>
      </c>
      <c r="T4" s="19" t="s">
        <v>200</v>
      </c>
      <c r="V4" s="15" t="s">
        <v>166</v>
      </c>
      <c r="W4" s="16" t="s">
        <v>79</v>
      </c>
      <c r="X4" s="17" t="s">
        <v>173</v>
      </c>
      <c r="Y4" s="17" t="s">
        <v>174</v>
      </c>
      <c r="Z4" s="17" t="s">
        <v>175</v>
      </c>
      <c r="AA4" s="17" t="s">
        <v>176</v>
      </c>
      <c r="AB4" s="17" t="s">
        <v>201</v>
      </c>
      <c r="AC4" s="17" t="s">
        <v>178</v>
      </c>
      <c r="AD4" s="17" t="s">
        <v>177</v>
      </c>
      <c r="AE4" s="17" t="s">
        <v>180</v>
      </c>
      <c r="AF4" s="17" t="s">
        <v>202</v>
      </c>
      <c r="AG4" s="18"/>
      <c r="AH4" s="19" t="s">
        <v>203</v>
      </c>
      <c r="AJ4" s="19" t="s">
        <v>170</v>
      </c>
      <c r="AK4" s="18"/>
      <c r="AL4" s="21" t="s">
        <v>169</v>
      </c>
      <c r="AM4" s="19" t="s">
        <v>200</v>
      </c>
    </row>
    <row r="5" spans="1:39" ht="13.5" thickBot="1">
      <c r="A5" s="90" t="s">
        <v>204</v>
      </c>
      <c r="B5" s="23">
        <v>1</v>
      </c>
      <c r="C5" s="24">
        <v>1</v>
      </c>
      <c r="D5" s="24">
        <v>0.6</v>
      </c>
      <c r="E5" s="24">
        <v>0.6</v>
      </c>
      <c r="F5" s="24">
        <v>1</v>
      </c>
      <c r="G5" s="24">
        <v>1</v>
      </c>
      <c r="H5" s="24">
        <v>1</v>
      </c>
      <c r="I5" s="94"/>
      <c r="K5" s="25"/>
      <c r="L5" s="18" t="s">
        <v>88</v>
      </c>
      <c r="M5" s="18" t="s">
        <v>89</v>
      </c>
      <c r="N5" s="19" t="s">
        <v>213</v>
      </c>
      <c r="O5" s="18"/>
      <c r="P5" s="26"/>
      <c r="Q5" s="27"/>
      <c r="R5" s="26"/>
      <c r="S5" s="27"/>
      <c r="T5" s="28"/>
      <c r="V5" s="22" t="s">
        <v>204</v>
      </c>
      <c r="W5" s="23">
        <v>1</v>
      </c>
      <c r="X5" s="29">
        <v>0.8807</v>
      </c>
      <c r="Y5" s="24">
        <v>0.6</v>
      </c>
      <c r="Z5" s="24">
        <v>0.4</v>
      </c>
      <c r="AA5" s="24">
        <v>1</v>
      </c>
      <c r="AB5" s="24">
        <v>0.8</v>
      </c>
      <c r="AC5" s="24">
        <v>1</v>
      </c>
      <c r="AD5" s="24">
        <v>1</v>
      </c>
      <c r="AE5" s="24">
        <v>0.7</v>
      </c>
      <c r="AF5" s="24">
        <v>0.7</v>
      </c>
      <c r="AG5" s="30"/>
      <c r="AH5" s="25"/>
      <c r="AJ5" s="27"/>
      <c r="AK5" s="26"/>
      <c r="AL5" s="27"/>
      <c r="AM5" s="28"/>
    </row>
    <row r="6" spans="1:39" ht="12.75">
      <c r="A6" s="91"/>
      <c r="B6" s="32"/>
      <c r="C6" s="13"/>
      <c r="D6" s="13"/>
      <c r="E6" s="13"/>
      <c r="F6" s="13"/>
      <c r="G6" s="13"/>
      <c r="H6" s="13"/>
      <c r="I6" s="94"/>
      <c r="K6" s="25"/>
      <c r="L6" s="26"/>
      <c r="M6" s="26"/>
      <c r="N6" s="25"/>
      <c r="O6" s="26"/>
      <c r="P6" s="26"/>
      <c r="Q6" s="25"/>
      <c r="R6" s="26"/>
      <c r="S6" s="25"/>
      <c r="T6" s="28"/>
      <c r="V6" s="31"/>
      <c r="W6" s="32"/>
      <c r="X6" s="13"/>
      <c r="Y6" s="13"/>
      <c r="Z6" s="13"/>
      <c r="AA6" s="13"/>
      <c r="AB6" s="13"/>
      <c r="AC6" s="13"/>
      <c r="AD6" s="13"/>
      <c r="AE6" s="13"/>
      <c r="AF6" s="13"/>
      <c r="AH6" s="25"/>
      <c r="AJ6" s="25"/>
      <c r="AK6" s="26"/>
      <c r="AL6" s="25"/>
      <c r="AM6" s="28"/>
    </row>
    <row r="7" spans="1:39" ht="21" customHeight="1" thickBot="1">
      <c r="A7" s="88" t="s">
        <v>167</v>
      </c>
      <c r="B7" s="33">
        <v>0</v>
      </c>
      <c r="C7" s="34">
        <v>15709428</v>
      </c>
      <c r="D7" s="34">
        <v>669901.26</v>
      </c>
      <c r="E7" s="34">
        <v>1868706.49</v>
      </c>
      <c r="F7" s="34">
        <v>5734855.64</v>
      </c>
      <c r="G7" s="34">
        <v>0</v>
      </c>
      <c r="H7" s="34">
        <v>0</v>
      </c>
      <c r="I7" s="95">
        <f>AH7</f>
        <v>543779171.4833333</v>
      </c>
      <c r="J7" s="9"/>
      <c r="K7" s="35">
        <f>SUM(B7:I7)</f>
        <v>567762062.8733333</v>
      </c>
      <c r="L7" s="10"/>
      <c r="M7" s="10"/>
      <c r="N7" s="35">
        <f>K7-L7</f>
        <v>567762062.8733333</v>
      </c>
      <c r="O7" s="10"/>
      <c r="P7" s="10"/>
      <c r="Q7" s="35">
        <v>358674721</v>
      </c>
      <c r="R7" s="10"/>
      <c r="S7" s="35">
        <f>K7-Q7</f>
        <v>209087341.87333333</v>
      </c>
      <c r="T7" s="36">
        <f>S7/Q7</f>
        <v>0.5829441821001189</v>
      </c>
      <c r="V7" s="25" t="s">
        <v>167</v>
      </c>
      <c r="W7" s="33">
        <v>43235894.67</v>
      </c>
      <c r="X7" s="34">
        <v>41695852</v>
      </c>
      <c r="Y7" s="34">
        <f>8842498000/2400*3.8</f>
        <v>14000621.833333332</v>
      </c>
      <c r="Z7" s="34">
        <v>440822248</v>
      </c>
      <c r="AA7" s="34">
        <v>3780645.98</v>
      </c>
      <c r="AB7" s="34">
        <v>0</v>
      </c>
      <c r="AC7" s="34">
        <v>0</v>
      </c>
      <c r="AD7" s="34">
        <v>0</v>
      </c>
      <c r="AE7" s="34">
        <v>56480</v>
      </c>
      <c r="AF7" s="34">
        <v>187429</v>
      </c>
      <c r="AG7" s="9"/>
      <c r="AH7" s="35">
        <f>SUM(W7:AF7)</f>
        <v>543779171.4833333</v>
      </c>
      <c r="AJ7" s="35">
        <v>346259892</v>
      </c>
      <c r="AK7" s="10"/>
      <c r="AL7" s="35">
        <f>AH7-AJ7</f>
        <v>197519279.48333335</v>
      </c>
      <c r="AM7" s="36">
        <f>AL7/AJ7</f>
        <v>0.570436495958167</v>
      </c>
    </row>
    <row r="8" spans="1:39" ht="21" customHeight="1" thickTop="1">
      <c r="A8" s="88" t="s">
        <v>171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/>
      <c r="H8" s="38"/>
      <c r="I8" s="96"/>
      <c r="J8" s="9"/>
      <c r="K8" s="39"/>
      <c r="L8" s="10"/>
      <c r="M8" s="10"/>
      <c r="N8" s="39"/>
      <c r="O8" s="10"/>
      <c r="P8" s="10"/>
      <c r="Q8" s="39"/>
      <c r="R8" s="10"/>
      <c r="S8" s="39"/>
      <c r="T8" s="36"/>
      <c r="V8" s="25" t="s">
        <v>171</v>
      </c>
      <c r="W8" s="37">
        <v>-4171.18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9"/>
      <c r="AH8" s="39">
        <f>SUM(W8:AG8)</f>
        <v>-4171.18</v>
      </c>
      <c r="AJ8" s="39"/>
      <c r="AK8" s="10"/>
      <c r="AL8" s="39"/>
      <c r="AM8" s="36"/>
    </row>
    <row r="9" spans="1:39" ht="34.5" customHeight="1">
      <c r="A9" s="88" t="s">
        <v>205</v>
      </c>
      <c r="B9" s="37">
        <v>107365.05</v>
      </c>
      <c r="C9" s="38">
        <v>79842</v>
      </c>
      <c r="D9" s="38">
        <f>41389+837.96+1470.69</f>
        <v>43697.65</v>
      </c>
      <c r="E9" s="38">
        <f>18568.63+677.12</f>
        <v>19245.75</v>
      </c>
      <c r="F9" s="38">
        <v>318182.29</v>
      </c>
      <c r="G9" s="38">
        <v>0</v>
      </c>
      <c r="H9" s="38">
        <v>63000</v>
      </c>
      <c r="I9" s="96">
        <f>AH9</f>
        <v>39623680.6</v>
      </c>
      <c r="J9" s="9"/>
      <c r="K9" s="39">
        <f>SUM(B9:I9)</f>
        <v>40255013.34</v>
      </c>
      <c r="L9" s="10"/>
      <c r="M9" s="10"/>
      <c r="N9" s="39">
        <f>K9</f>
        <v>40255013.34</v>
      </c>
      <c r="O9" s="10"/>
      <c r="P9" s="10"/>
      <c r="Q9" s="39">
        <v>17007728</v>
      </c>
      <c r="R9" s="10"/>
      <c r="S9" s="39">
        <f>K9-Q9</f>
        <v>23247285.340000004</v>
      </c>
      <c r="T9" s="36">
        <f>S9/Q9</f>
        <v>1.3668660117330194</v>
      </c>
      <c r="V9" s="25" t="s">
        <v>205</v>
      </c>
      <c r="W9" s="37">
        <v>14351063.11</v>
      </c>
      <c r="X9" s="38">
        <v>0</v>
      </c>
      <c r="Y9" s="38">
        <v>0</v>
      </c>
      <c r="Z9" s="38">
        <v>25000000</v>
      </c>
      <c r="AA9" s="38">
        <v>80211.49</v>
      </c>
      <c r="AB9" s="38">
        <v>9302</v>
      </c>
      <c r="AC9" s="38"/>
      <c r="AD9" s="38"/>
      <c r="AE9" s="38">
        <v>0</v>
      </c>
      <c r="AF9" s="38">
        <v>183104</v>
      </c>
      <c r="AG9" s="9"/>
      <c r="AH9" s="39">
        <f>SUM(W9:AF9)</f>
        <v>39623680.6</v>
      </c>
      <c r="AJ9" s="39">
        <v>11263550</v>
      </c>
      <c r="AK9" s="10"/>
      <c r="AL9" s="39">
        <f>AH9-AJ9</f>
        <v>28360130.6</v>
      </c>
      <c r="AM9" s="36">
        <f>AL9/AJ9</f>
        <v>2.517867865814952</v>
      </c>
    </row>
    <row r="10" spans="1:39" ht="33" customHeight="1">
      <c r="A10" s="88" t="s">
        <v>206</v>
      </c>
      <c r="B10" s="37"/>
      <c r="C10" s="38"/>
      <c r="D10" s="38"/>
      <c r="E10" s="38"/>
      <c r="F10" s="38"/>
      <c r="G10" s="38"/>
      <c r="H10" s="38"/>
      <c r="I10" s="96"/>
      <c r="J10" s="9"/>
      <c r="K10" s="39"/>
      <c r="L10" s="10"/>
      <c r="M10" s="10"/>
      <c r="N10" s="39"/>
      <c r="O10" s="10"/>
      <c r="P10" s="10"/>
      <c r="Q10" s="39"/>
      <c r="R10" s="10"/>
      <c r="S10" s="39"/>
      <c r="T10" s="28"/>
      <c r="V10" s="25" t="s">
        <v>206</v>
      </c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9"/>
      <c r="AH10" s="39"/>
      <c r="AJ10" s="39"/>
      <c r="AK10" s="10"/>
      <c r="AL10" s="39"/>
      <c r="AM10" s="28"/>
    </row>
    <row r="11" spans="1:39" ht="12.75" customHeight="1">
      <c r="A11" s="88" t="s">
        <v>207</v>
      </c>
      <c r="B11" s="37"/>
      <c r="C11" s="38"/>
      <c r="D11" s="38"/>
      <c r="E11" s="38"/>
      <c r="F11" s="38"/>
      <c r="G11" s="38"/>
      <c r="H11" s="38"/>
      <c r="I11" s="96"/>
      <c r="J11" s="9"/>
      <c r="K11" s="39"/>
      <c r="L11" s="10"/>
      <c r="M11" s="10"/>
      <c r="N11" s="39"/>
      <c r="O11" s="10"/>
      <c r="P11" s="10"/>
      <c r="Q11" s="39"/>
      <c r="R11" s="10"/>
      <c r="S11" s="39"/>
      <c r="T11" s="28"/>
      <c r="V11" s="25" t="s">
        <v>207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9"/>
      <c r="AH11" s="39"/>
      <c r="AJ11" s="39"/>
      <c r="AK11" s="10"/>
      <c r="AL11" s="39"/>
      <c r="AM11" s="28"/>
    </row>
    <row r="12" spans="1:39" ht="13.5" customHeight="1">
      <c r="A12" s="88" t="s">
        <v>208</v>
      </c>
      <c r="B12" s="37">
        <f aca="true" t="shared" si="0" ref="B12:I12">B15+B13+B14</f>
        <v>3501325.439999999</v>
      </c>
      <c r="C12" s="38">
        <f t="shared" si="0"/>
        <v>1059772</v>
      </c>
      <c r="D12" s="38">
        <f t="shared" si="0"/>
        <v>106238.92</v>
      </c>
      <c r="E12" s="38">
        <f t="shared" si="0"/>
        <v>25638.399999999998</v>
      </c>
      <c r="F12" s="38">
        <f t="shared" si="0"/>
        <v>3863020.48</v>
      </c>
      <c r="G12" s="38">
        <f t="shared" si="0"/>
        <v>-78682</v>
      </c>
      <c r="H12" s="38">
        <f t="shared" si="0"/>
        <v>-59225</v>
      </c>
      <c r="I12" s="96">
        <f t="shared" si="0"/>
        <v>57889898.38666666</v>
      </c>
      <c r="J12" s="9"/>
      <c r="K12" s="39">
        <f aca="true" t="shared" si="1" ref="K12:K19">SUM(B12:I12)</f>
        <v>66307986.626666665</v>
      </c>
      <c r="L12" s="10"/>
      <c r="M12" s="10"/>
      <c r="N12" s="39">
        <f>K12-L12</f>
        <v>66307986.626666665</v>
      </c>
      <c r="O12" s="10"/>
      <c r="P12" s="10"/>
      <c r="Q12" s="39">
        <f>Q15+Q13</f>
        <v>64240257</v>
      </c>
      <c r="R12" s="10"/>
      <c r="S12" s="39">
        <f>K12-Q12</f>
        <v>2067729.626666665</v>
      </c>
      <c r="T12" s="36">
        <f>S12/Q12</f>
        <v>0.03218744325177069</v>
      </c>
      <c r="V12" s="25" t="s">
        <v>208</v>
      </c>
      <c r="W12" s="38">
        <f aca="true" t="shared" si="2" ref="W12:AF12">W15+W13+W14</f>
        <v>-27325895.28</v>
      </c>
      <c r="X12" s="38">
        <f t="shared" si="2"/>
        <v>-3541640.5</v>
      </c>
      <c r="Y12" s="38">
        <f t="shared" si="2"/>
        <v>-50956.833333333256</v>
      </c>
      <c r="Z12" s="38">
        <f t="shared" si="2"/>
        <v>89779444</v>
      </c>
      <c r="AA12" s="38">
        <f t="shared" si="2"/>
        <v>296212.18000000005</v>
      </c>
      <c r="AB12" s="38">
        <f t="shared" si="2"/>
        <v>-831575</v>
      </c>
      <c r="AC12" s="38">
        <f t="shared" si="2"/>
        <v>-1333</v>
      </c>
      <c r="AD12" s="38">
        <f t="shared" si="2"/>
        <v>-24261</v>
      </c>
      <c r="AE12" s="38">
        <f t="shared" si="2"/>
        <v>-126518.18</v>
      </c>
      <c r="AF12" s="38">
        <f t="shared" si="2"/>
        <v>-283578</v>
      </c>
      <c r="AG12" s="9"/>
      <c r="AH12" s="39">
        <f aca="true" t="shared" si="3" ref="AH12:AH19">SUM(W12:AF12)</f>
        <v>57889898.38666667</v>
      </c>
      <c r="AJ12" s="39">
        <f>AJ15+AJ13</f>
        <v>58840816</v>
      </c>
      <c r="AK12" s="10"/>
      <c r="AL12" s="39">
        <f>AH12-AJ12</f>
        <v>-950917.6133333296</v>
      </c>
      <c r="AM12" s="36">
        <f>AL12/AJ12</f>
        <v>-0.016160850205295074</v>
      </c>
    </row>
    <row r="13" spans="1:39" ht="36" customHeight="1">
      <c r="A13" s="88" t="s">
        <v>172</v>
      </c>
      <c r="B13" s="6">
        <f>18598507.79+70213.7</f>
        <v>18668721.49</v>
      </c>
      <c r="C13" s="7">
        <v>108388</v>
      </c>
      <c r="D13" s="9">
        <v>15632.83</v>
      </c>
      <c r="E13" s="7">
        <v>19453.1</v>
      </c>
      <c r="F13" s="9">
        <v>3321512.04</v>
      </c>
      <c r="G13" s="7">
        <v>0</v>
      </c>
      <c r="H13" s="9">
        <v>0</v>
      </c>
      <c r="I13" s="97">
        <f aca="true" t="shared" si="4" ref="I13:I19">AH13</f>
        <v>27023797.06</v>
      </c>
      <c r="J13" s="9"/>
      <c r="K13" s="42">
        <f t="shared" si="1"/>
        <v>49157504.519999996</v>
      </c>
      <c r="L13" s="10"/>
      <c r="M13" s="10"/>
      <c r="N13" s="42">
        <f>K13</f>
        <v>49157504.519999996</v>
      </c>
      <c r="O13" s="10"/>
      <c r="P13" s="10"/>
      <c r="Q13" s="42">
        <v>29135318</v>
      </c>
      <c r="R13" s="10"/>
      <c r="S13" s="42">
        <f>K13-Q13</f>
        <v>20022186.519999996</v>
      </c>
      <c r="T13" s="36">
        <f>S13/Q13</f>
        <v>0.6872135914219297</v>
      </c>
      <c r="V13" s="25" t="s">
        <v>172</v>
      </c>
      <c r="W13" s="40">
        <v>25304583.4</v>
      </c>
      <c r="X13" s="41">
        <v>0</v>
      </c>
      <c r="Y13" s="41">
        <v>0</v>
      </c>
      <c r="Z13" s="41">
        <v>1133000</v>
      </c>
      <c r="AA13" s="41">
        <v>72633.66</v>
      </c>
      <c r="AB13" s="41">
        <v>513580</v>
      </c>
      <c r="AC13" s="41">
        <v>0</v>
      </c>
      <c r="AD13" s="41"/>
      <c r="AE13" s="41">
        <v>0</v>
      </c>
      <c r="AF13" s="41">
        <v>0</v>
      </c>
      <c r="AG13" s="9"/>
      <c r="AH13" s="42">
        <f t="shared" si="3"/>
        <v>27023797.06</v>
      </c>
      <c r="AJ13" s="42">
        <v>16915356</v>
      </c>
      <c r="AK13" s="10"/>
      <c r="AL13" s="42">
        <f>AH13-AJ13</f>
        <v>10108441.059999999</v>
      </c>
      <c r="AM13" s="36">
        <f>AL13/AJ13</f>
        <v>0.5975896138396377</v>
      </c>
    </row>
    <row r="14" spans="1:39" ht="36" customHeight="1">
      <c r="A14" s="88" t="s">
        <v>209</v>
      </c>
      <c r="B14" s="40">
        <v>96365.72</v>
      </c>
      <c r="C14" s="41">
        <v>908224</v>
      </c>
      <c r="D14" s="41">
        <v>53143.34</v>
      </c>
      <c r="E14" s="41">
        <v>9194.16</v>
      </c>
      <c r="F14" s="41">
        <v>62389.51</v>
      </c>
      <c r="G14" s="41">
        <v>0</v>
      </c>
      <c r="H14" s="41">
        <v>0</v>
      </c>
      <c r="I14" s="98">
        <f t="shared" si="4"/>
        <v>14488172.65</v>
      </c>
      <c r="J14" s="9"/>
      <c r="K14" s="42">
        <f t="shared" si="1"/>
        <v>15617489.38</v>
      </c>
      <c r="L14" s="10"/>
      <c r="M14" s="10"/>
      <c r="N14" s="39"/>
      <c r="O14" s="10"/>
      <c r="P14" s="10"/>
      <c r="Q14" s="39"/>
      <c r="R14" s="10"/>
      <c r="S14" s="39"/>
      <c r="T14" s="36"/>
      <c r="V14" s="25" t="s">
        <v>209</v>
      </c>
      <c r="W14" s="37">
        <v>4780909</v>
      </c>
      <c r="X14" s="38">
        <v>1698307</v>
      </c>
      <c r="Y14" s="38">
        <v>1033560</v>
      </c>
      <c r="Z14" s="38">
        <v>6500000</v>
      </c>
      <c r="AA14" s="38">
        <v>20683.65</v>
      </c>
      <c r="AB14" s="38">
        <v>411206</v>
      </c>
      <c r="AC14" s="38">
        <v>4665</v>
      </c>
      <c r="AD14" s="38"/>
      <c r="AE14" s="38">
        <v>0</v>
      </c>
      <c r="AF14" s="38">
        <v>38842</v>
      </c>
      <c r="AG14" s="9"/>
      <c r="AH14" s="42">
        <f t="shared" si="3"/>
        <v>14488172.65</v>
      </c>
      <c r="AJ14" s="39"/>
      <c r="AK14" s="10"/>
      <c r="AL14" s="39"/>
      <c r="AM14" s="36"/>
    </row>
    <row r="15" spans="1:39" ht="41.25" customHeight="1">
      <c r="A15" s="88" t="s">
        <v>210</v>
      </c>
      <c r="B15" s="37">
        <f>-19685813.95+4422052.18</f>
        <v>-15263761.77</v>
      </c>
      <c r="C15" s="38">
        <v>43160</v>
      </c>
      <c r="D15" s="38">
        <v>37462.75</v>
      </c>
      <c r="E15" s="38">
        <v>-3008.86</v>
      </c>
      <c r="F15" s="38">
        <v>479118.93</v>
      </c>
      <c r="G15" s="38">
        <v>-78682</v>
      </c>
      <c r="H15" s="38">
        <v>-59225</v>
      </c>
      <c r="I15" s="96">
        <f t="shared" si="4"/>
        <v>16377928.676666666</v>
      </c>
      <c r="J15" s="9"/>
      <c r="K15" s="39">
        <f t="shared" si="1"/>
        <v>1532992.7266666666</v>
      </c>
      <c r="L15" s="10"/>
      <c r="M15" s="10"/>
      <c r="N15" s="39">
        <f>K15-L15</f>
        <v>1532992.7266666666</v>
      </c>
      <c r="O15" s="10"/>
      <c r="P15" s="10"/>
      <c r="Q15" s="39">
        <v>35104939</v>
      </c>
      <c r="R15" s="10"/>
      <c r="S15" s="39">
        <f>K15-Q15</f>
        <v>-33571946.27333333</v>
      </c>
      <c r="T15" s="36">
        <f>S15/Q15</f>
        <v>-0.9563311382860781</v>
      </c>
      <c r="V15" s="25" t="s">
        <v>210</v>
      </c>
      <c r="W15" s="43">
        <v>-57411387.68</v>
      </c>
      <c r="X15" s="38">
        <f>-2095979*2.5</f>
        <v>-5239947.5</v>
      </c>
      <c r="Y15" s="38">
        <f>-684958000/2400*3.8</f>
        <v>-1084516.8333333333</v>
      </c>
      <c r="Z15" s="38">
        <v>82146444</v>
      </c>
      <c r="AA15" s="38">
        <v>202894.87</v>
      </c>
      <c r="AB15" s="38">
        <v>-1756361</v>
      </c>
      <c r="AC15" s="38">
        <v>-5998</v>
      </c>
      <c r="AD15" s="38">
        <v>-24261</v>
      </c>
      <c r="AE15" s="38">
        <v>-126518.18</v>
      </c>
      <c r="AF15" s="38">
        <v>-322420</v>
      </c>
      <c r="AG15" s="9"/>
      <c r="AH15" s="39">
        <f t="shared" si="3"/>
        <v>16377928.676666666</v>
      </c>
      <c r="AJ15" s="39">
        <v>41925460</v>
      </c>
      <c r="AK15" s="10"/>
      <c r="AL15" s="39">
        <f>AH15-AJ15</f>
        <v>-25547531.323333334</v>
      </c>
      <c r="AM15" s="36">
        <f>AL15/AJ15</f>
        <v>-0.6093560171631589</v>
      </c>
    </row>
    <row r="16" spans="1:39" ht="34.5" customHeight="1">
      <c r="A16" s="88" t="s">
        <v>153</v>
      </c>
      <c r="B16" s="40">
        <v>367679.44</v>
      </c>
      <c r="C16" s="4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98">
        <f t="shared" si="4"/>
        <v>0</v>
      </c>
      <c r="J16" s="9"/>
      <c r="K16" s="42">
        <f t="shared" si="1"/>
        <v>367679.44</v>
      </c>
      <c r="L16" s="10"/>
      <c r="M16" s="10"/>
      <c r="N16" s="42">
        <v>0</v>
      </c>
      <c r="O16" s="10"/>
      <c r="P16" s="10"/>
      <c r="Q16" s="42">
        <v>0</v>
      </c>
      <c r="R16" s="10"/>
      <c r="S16" s="42"/>
      <c r="T16" s="28"/>
      <c r="V16" s="25" t="s">
        <v>153</v>
      </c>
      <c r="W16" s="40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9"/>
      <c r="AH16" s="42">
        <f t="shared" si="3"/>
        <v>0</v>
      </c>
      <c r="AJ16" s="42">
        <v>0</v>
      </c>
      <c r="AK16" s="10"/>
      <c r="AL16" s="42">
        <v>0</v>
      </c>
      <c r="AM16" s="28"/>
    </row>
    <row r="17" spans="1:39" ht="37.5" customHeight="1">
      <c r="A17" s="88" t="s">
        <v>168</v>
      </c>
      <c r="B17" s="37">
        <f>B15+B16</f>
        <v>-14896082.33</v>
      </c>
      <c r="C17" s="38">
        <f aca="true" t="shared" si="5" ref="C17:H17">C15</f>
        <v>43160</v>
      </c>
      <c r="D17" s="38">
        <f t="shared" si="5"/>
        <v>37462.75</v>
      </c>
      <c r="E17" s="38">
        <f t="shared" si="5"/>
        <v>-3008.86</v>
      </c>
      <c r="F17" s="38">
        <f t="shared" si="5"/>
        <v>479118.93</v>
      </c>
      <c r="G17" s="38">
        <f t="shared" si="5"/>
        <v>-78682</v>
      </c>
      <c r="H17" s="38">
        <f t="shared" si="5"/>
        <v>-59225</v>
      </c>
      <c r="I17" s="96">
        <f t="shared" si="4"/>
        <v>16377928.676666666</v>
      </c>
      <c r="J17" s="9"/>
      <c r="K17" s="39">
        <f t="shared" si="1"/>
        <v>1900672.166666666</v>
      </c>
      <c r="L17" s="10"/>
      <c r="M17" s="10"/>
      <c r="N17" s="39">
        <f>N15-N16</f>
        <v>1532992.7266666666</v>
      </c>
      <c r="O17" s="10"/>
      <c r="P17" s="10"/>
      <c r="Q17" s="39">
        <f>Q15-Q16</f>
        <v>35104939</v>
      </c>
      <c r="R17" s="10"/>
      <c r="S17" s="39">
        <f>K17-Q17</f>
        <v>-33204266.833333336</v>
      </c>
      <c r="T17" s="36">
        <f>S17/Q17</f>
        <v>-0.9458574143465492</v>
      </c>
      <c r="V17" s="25" t="s">
        <v>168</v>
      </c>
      <c r="W17" s="37">
        <f aca="true" t="shared" si="6" ref="W17:AF17">W15-W16</f>
        <v>-57411387.68</v>
      </c>
      <c r="X17" s="38">
        <f t="shared" si="6"/>
        <v>-5239947.5</v>
      </c>
      <c r="Y17" s="38">
        <f t="shared" si="6"/>
        <v>-1084516.8333333333</v>
      </c>
      <c r="Z17" s="38">
        <f t="shared" si="6"/>
        <v>82146444</v>
      </c>
      <c r="AA17" s="38">
        <f t="shared" si="6"/>
        <v>202894.87</v>
      </c>
      <c r="AB17" s="38">
        <f t="shared" si="6"/>
        <v>-1756361</v>
      </c>
      <c r="AC17" s="38">
        <f t="shared" si="6"/>
        <v>-5998</v>
      </c>
      <c r="AD17" s="38">
        <f t="shared" si="6"/>
        <v>-24261</v>
      </c>
      <c r="AE17" s="38">
        <f t="shared" si="6"/>
        <v>-126518.18</v>
      </c>
      <c r="AF17" s="38">
        <f t="shared" si="6"/>
        <v>-322420</v>
      </c>
      <c r="AG17" s="9"/>
      <c r="AH17" s="39">
        <f t="shared" si="3"/>
        <v>16377928.676666666</v>
      </c>
      <c r="AJ17" s="39">
        <f>AJ15-AJ16</f>
        <v>41925460</v>
      </c>
      <c r="AK17" s="10"/>
      <c r="AL17" s="39">
        <f>AH17-AJ17</f>
        <v>-25547531.323333334</v>
      </c>
      <c r="AM17" s="36">
        <f>AL17/AJ17</f>
        <v>-0.6093560171631589</v>
      </c>
    </row>
    <row r="18" spans="1:39" ht="35.25" customHeight="1">
      <c r="A18" s="88" t="s">
        <v>211</v>
      </c>
      <c r="B18" s="40">
        <v>0</v>
      </c>
      <c r="C18" s="41">
        <v>0</v>
      </c>
      <c r="D18" s="41">
        <f>D17*0.4</f>
        <v>14985.1</v>
      </c>
      <c r="E18" s="41">
        <f>E17*0.4</f>
        <v>-1203.544</v>
      </c>
      <c r="F18" s="41">
        <v>0</v>
      </c>
      <c r="G18" s="41">
        <v>0</v>
      </c>
      <c r="H18" s="41">
        <v>0</v>
      </c>
      <c r="I18" s="98">
        <f t="shared" si="4"/>
        <v>47742980.27591666</v>
      </c>
      <c r="J18" s="9"/>
      <c r="K18" s="42">
        <f t="shared" si="1"/>
        <v>47756761.83191666</v>
      </c>
      <c r="L18" s="10"/>
      <c r="M18" s="10"/>
      <c r="N18" s="42">
        <f>K18</f>
        <v>47756761.83191666</v>
      </c>
      <c r="O18" s="10"/>
      <c r="P18" s="10"/>
      <c r="Q18" s="42">
        <v>28609038</v>
      </c>
      <c r="R18" s="10"/>
      <c r="S18" s="42">
        <f>K18-Q18</f>
        <v>19147723.83191666</v>
      </c>
      <c r="T18" s="36">
        <f>S18/Q18</f>
        <v>0.6692893284953049</v>
      </c>
      <c r="V18" s="25" t="s">
        <v>211</v>
      </c>
      <c r="W18" s="40">
        <v>0</v>
      </c>
      <c r="X18" s="41">
        <f>X17*0.1193</f>
        <v>-625125.73675</v>
      </c>
      <c r="Y18" s="41">
        <f>Y17*0.4</f>
        <v>-433806.73333333334</v>
      </c>
      <c r="Z18" s="41">
        <f>Z17*0.6</f>
        <v>49287866.4</v>
      </c>
      <c r="AA18" s="41">
        <v>0</v>
      </c>
      <c r="AB18" s="41">
        <f>AB17*0.2</f>
        <v>-351272.2</v>
      </c>
      <c r="AC18" s="41">
        <v>0</v>
      </c>
      <c r="AD18" s="41">
        <v>0</v>
      </c>
      <c r="AE18" s="41">
        <f>AE17*0.3</f>
        <v>-37955.454</v>
      </c>
      <c r="AF18" s="41">
        <f>AF17*0.3</f>
        <v>-96726</v>
      </c>
      <c r="AG18" s="9"/>
      <c r="AH18" s="42">
        <f t="shared" si="3"/>
        <v>47742980.27591666</v>
      </c>
      <c r="AJ18" s="42">
        <v>28592382</v>
      </c>
      <c r="AK18" s="10"/>
      <c r="AL18" s="42">
        <f>AH18-AJ18</f>
        <v>19150598.27591666</v>
      </c>
      <c r="AM18" s="36">
        <f>AL18/AJ18</f>
        <v>0.6697797432867488</v>
      </c>
    </row>
    <row r="19" spans="1:39" ht="42" customHeight="1" thickBot="1">
      <c r="A19" s="92" t="s">
        <v>212</v>
      </c>
      <c r="B19" s="46">
        <f>B17</f>
        <v>-14896082.33</v>
      </c>
      <c r="C19" s="47">
        <f>C17</f>
        <v>43160</v>
      </c>
      <c r="D19" s="47">
        <f>D17-D18</f>
        <v>22477.65</v>
      </c>
      <c r="E19" s="47">
        <f>E17-E18</f>
        <v>-1805.316</v>
      </c>
      <c r="F19" s="47">
        <f>F17</f>
        <v>479118.93</v>
      </c>
      <c r="G19" s="47">
        <f>G17</f>
        <v>-78682</v>
      </c>
      <c r="H19" s="47">
        <f>H17</f>
        <v>-59225</v>
      </c>
      <c r="I19" s="99">
        <f t="shared" si="4"/>
        <v>-31365051.59925</v>
      </c>
      <c r="J19" s="9"/>
      <c r="K19" s="48">
        <f t="shared" si="1"/>
        <v>-45856089.66525</v>
      </c>
      <c r="L19" s="10"/>
      <c r="M19" s="10"/>
      <c r="N19" s="48">
        <f>N17-N18</f>
        <v>-46223769.10524999</v>
      </c>
      <c r="O19" s="10"/>
      <c r="P19" s="10"/>
      <c r="Q19" s="48">
        <f>Q17-Q18</f>
        <v>6495901</v>
      </c>
      <c r="R19" s="10"/>
      <c r="S19" s="48">
        <f>K19-Q19</f>
        <v>-52351990.66525</v>
      </c>
      <c r="T19" s="49">
        <f>S19/Q19</f>
        <v>-8.059234687420576</v>
      </c>
      <c r="V19" s="45" t="s">
        <v>212</v>
      </c>
      <c r="W19" s="46">
        <f aca="true" t="shared" si="7" ref="W19:AF19">W17-W18</f>
        <v>-57411387.68</v>
      </c>
      <c r="X19" s="47">
        <f t="shared" si="7"/>
        <v>-4614821.76325</v>
      </c>
      <c r="Y19" s="47">
        <f t="shared" si="7"/>
        <v>-650710.0999999999</v>
      </c>
      <c r="Z19" s="47">
        <f t="shared" si="7"/>
        <v>32858577.6</v>
      </c>
      <c r="AA19" s="47">
        <f t="shared" si="7"/>
        <v>202894.87</v>
      </c>
      <c r="AB19" s="47">
        <f t="shared" si="7"/>
        <v>-1405088.8</v>
      </c>
      <c r="AC19" s="47">
        <f t="shared" si="7"/>
        <v>-5998</v>
      </c>
      <c r="AD19" s="47">
        <f t="shared" si="7"/>
        <v>-24261</v>
      </c>
      <c r="AE19" s="47">
        <f t="shared" si="7"/>
        <v>-88562.726</v>
      </c>
      <c r="AF19" s="47">
        <f t="shared" si="7"/>
        <v>-225694</v>
      </c>
      <c r="AG19" s="9"/>
      <c r="AH19" s="48">
        <f t="shared" si="3"/>
        <v>-31365051.59925</v>
      </c>
      <c r="AJ19" s="48">
        <f>AJ17-AJ18</f>
        <v>13333078</v>
      </c>
      <c r="AK19" s="10"/>
      <c r="AL19" s="48">
        <f>AH19-AJ19</f>
        <v>-44698129.59925</v>
      </c>
      <c r="AM19" s="49">
        <f>AL19/AJ19</f>
        <v>-3.3524239188617964</v>
      </c>
    </row>
    <row r="20" spans="1:33" ht="26.25" customHeight="1">
      <c r="A20" s="50"/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4"/>
      <c r="K25"/>
      <c r="L25"/>
      <c r="M25"/>
      <c r="N25"/>
      <c r="O25" s="14"/>
      <c r="P25"/>
      <c r="Q25"/>
      <c r="R25"/>
      <c r="S25"/>
      <c r="T25" s="3"/>
      <c r="U25"/>
      <c r="AG25" s="26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4"/>
      <c r="B54" s="51"/>
    </row>
    <row r="55" spans="1:2" ht="12.75">
      <c r="A55" s="14"/>
      <c r="B55" s="51"/>
    </row>
    <row r="56" spans="1:2" ht="12.75">
      <c r="A56" s="14"/>
      <c r="B56" s="51"/>
    </row>
    <row r="57" spans="1:2" ht="12.75">
      <c r="A57" s="14"/>
      <c r="B57" s="51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50" customWidth="1"/>
    <col min="2" max="2" width="12.28125" style="50" customWidth="1"/>
    <col min="3" max="3" width="1.28515625" style="50" customWidth="1"/>
    <col min="4" max="4" width="12.28125" style="50" customWidth="1"/>
    <col min="5" max="5" width="1.28515625" style="50" customWidth="1"/>
    <col min="6" max="6" width="12.28125" style="50" customWidth="1"/>
    <col min="7" max="7" width="1.28515625" style="50" customWidth="1"/>
    <col min="8" max="8" width="12.28125" style="50" customWidth="1"/>
    <col min="9" max="9" width="1.28515625" style="50" customWidth="1"/>
    <col min="10" max="10" width="12.28125" style="50" customWidth="1"/>
    <col min="11" max="11" width="1.28515625" style="50" customWidth="1"/>
    <col min="12" max="12" width="12.28125" style="50" customWidth="1"/>
    <col min="13" max="255" width="9.140625" style="50" customWidth="1"/>
    <col min="256" max="16384" width="9.140625" style="65" customWidth="1"/>
  </cols>
  <sheetData>
    <row r="1" ht="12.75">
      <c r="A1" s="101" t="s">
        <v>306</v>
      </c>
    </row>
    <row r="2" ht="12.75">
      <c r="A2" s="101" t="s">
        <v>305</v>
      </c>
    </row>
    <row r="3" ht="13.5" thickBot="1">
      <c r="A3" s="101"/>
    </row>
    <row r="4" spans="1:12" ht="12.75">
      <c r="A4" s="103"/>
      <c r="B4" s="109"/>
      <c r="C4" s="104"/>
      <c r="D4" s="112" t="s">
        <v>316</v>
      </c>
      <c r="E4" s="104"/>
      <c r="F4" s="112" t="s">
        <v>317</v>
      </c>
      <c r="G4" s="104"/>
      <c r="H4" s="112" t="s">
        <v>318</v>
      </c>
      <c r="I4" s="104"/>
      <c r="J4" s="112" t="s">
        <v>319</v>
      </c>
      <c r="K4" s="104"/>
      <c r="L4" s="112" t="s">
        <v>320</v>
      </c>
    </row>
    <row r="5" spans="1:12" ht="12.75">
      <c r="A5" s="105"/>
      <c r="B5" s="110" t="s">
        <v>314</v>
      </c>
      <c r="C5" s="106"/>
      <c r="D5" s="110" t="s">
        <v>315</v>
      </c>
      <c r="E5" s="106"/>
      <c r="F5" s="110" t="s">
        <v>315</v>
      </c>
      <c r="G5" s="106"/>
      <c r="H5" s="110" t="s">
        <v>315</v>
      </c>
      <c r="I5" s="106"/>
      <c r="J5" s="110" t="s">
        <v>315</v>
      </c>
      <c r="K5" s="106"/>
      <c r="L5" s="110" t="s">
        <v>315</v>
      </c>
    </row>
    <row r="6" spans="1:12" ht="12.75">
      <c r="A6" s="105"/>
      <c r="B6" s="111">
        <v>36160</v>
      </c>
      <c r="C6" s="106"/>
      <c r="D6" s="111">
        <v>36525</v>
      </c>
      <c r="E6" s="106"/>
      <c r="F6" s="111">
        <v>36525</v>
      </c>
      <c r="G6" s="106"/>
      <c r="H6" s="111">
        <v>36525</v>
      </c>
      <c r="I6" s="106"/>
      <c r="J6" s="111">
        <v>36525</v>
      </c>
      <c r="K6" s="106"/>
      <c r="L6" s="111">
        <v>36525</v>
      </c>
    </row>
    <row r="7" spans="1:12" ht="12.75">
      <c r="A7" s="105" t="s">
        <v>307</v>
      </c>
      <c r="B7" s="113">
        <v>435757801</v>
      </c>
      <c r="C7" s="114"/>
      <c r="D7" s="113">
        <v>580297757</v>
      </c>
      <c r="E7" s="115"/>
      <c r="F7" s="113">
        <f>D7</f>
        <v>580297757</v>
      </c>
      <c r="G7" s="115"/>
      <c r="H7" s="113">
        <f>F7</f>
        <v>580297757</v>
      </c>
      <c r="I7" s="115"/>
      <c r="J7" s="113">
        <f>H7</f>
        <v>580297757</v>
      </c>
      <c r="K7" s="114"/>
      <c r="L7" s="113">
        <f>J7</f>
        <v>580297757</v>
      </c>
    </row>
    <row r="8" spans="1:12" ht="12.75">
      <c r="A8" s="105"/>
      <c r="B8" s="113"/>
      <c r="C8" s="114"/>
      <c r="D8" s="113"/>
      <c r="E8" s="115"/>
      <c r="F8" s="113"/>
      <c r="G8" s="115"/>
      <c r="H8" s="113"/>
      <c r="I8" s="115"/>
      <c r="J8" s="113"/>
      <c r="K8" s="114"/>
      <c r="L8" s="113"/>
    </row>
    <row r="9" spans="1:12" ht="12.75">
      <c r="A9" s="105" t="s">
        <v>308</v>
      </c>
      <c r="B9" s="113">
        <v>5188949</v>
      </c>
      <c r="C9" s="114"/>
      <c r="D9" s="113">
        <v>-11122409</v>
      </c>
      <c r="E9" s="115"/>
      <c r="F9" s="113">
        <f>D9</f>
        <v>-11122409</v>
      </c>
      <c r="G9" s="115"/>
      <c r="H9" s="113">
        <f>F9+27967161.26</f>
        <v>16844752.26</v>
      </c>
      <c r="I9" s="115"/>
      <c r="J9" s="113">
        <f>H9+10932652</f>
        <v>27777404.26</v>
      </c>
      <c r="K9" s="114"/>
      <c r="L9" s="113">
        <f>J9+4265361</f>
        <v>32042765.26</v>
      </c>
    </row>
    <row r="10" spans="1:12" ht="12.75">
      <c r="A10" s="105"/>
      <c r="B10" s="113"/>
      <c r="C10" s="114"/>
      <c r="D10" s="113"/>
      <c r="E10" s="115"/>
      <c r="F10" s="113"/>
      <c r="G10" s="115"/>
      <c r="H10" s="113"/>
      <c r="I10" s="115"/>
      <c r="J10" s="113"/>
      <c r="K10" s="114"/>
      <c r="L10" s="113"/>
    </row>
    <row r="11" spans="1:12" ht="12.75">
      <c r="A11" s="105" t="s">
        <v>309</v>
      </c>
      <c r="B11" s="113">
        <v>52203714</v>
      </c>
      <c r="C11" s="114"/>
      <c r="D11" s="113">
        <v>0</v>
      </c>
      <c r="E11" s="115"/>
      <c r="F11" s="113">
        <v>76510478</v>
      </c>
      <c r="G11" s="115"/>
      <c r="H11" s="113">
        <f>F11</f>
        <v>76510478</v>
      </c>
      <c r="I11" s="115"/>
      <c r="J11" s="113">
        <f>H11</f>
        <v>76510478</v>
      </c>
      <c r="K11" s="114"/>
      <c r="L11" s="113">
        <f>J11</f>
        <v>76510478</v>
      </c>
    </row>
    <row r="12" spans="1:12" ht="12.75">
      <c r="A12" s="105"/>
      <c r="B12" s="113"/>
      <c r="C12" s="114"/>
      <c r="D12" s="113"/>
      <c r="E12" s="115"/>
      <c r="F12" s="113"/>
      <c r="G12" s="115"/>
      <c r="H12" s="113"/>
      <c r="I12" s="115"/>
      <c r="J12" s="113"/>
      <c r="K12" s="114"/>
      <c r="L12" s="113"/>
    </row>
    <row r="13" spans="1:12" ht="12.75">
      <c r="A13" s="105" t="s">
        <v>310</v>
      </c>
      <c r="B13" s="113">
        <v>57392663</v>
      </c>
      <c r="C13" s="114"/>
      <c r="D13" s="113">
        <f>D9+D11</f>
        <v>-11122409</v>
      </c>
      <c r="E13" s="115"/>
      <c r="F13" s="113">
        <f>F9+F11</f>
        <v>65388069</v>
      </c>
      <c r="G13" s="115"/>
      <c r="H13" s="113">
        <f>H9+H11</f>
        <v>93355230.26</v>
      </c>
      <c r="I13" s="115"/>
      <c r="J13" s="113">
        <f>J9+J11</f>
        <v>104287882.26</v>
      </c>
      <c r="K13" s="114"/>
      <c r="L13" s="113">
        <f>L9+L11</f>
        <v>108553243.26</v>
      </c>
    </row>
    <row r="14" spans="1:12" ht="12.75">
      <c r="A14" s="105"/>
      <c r="B14" s="113"/>
      <c r="C14" s="114"/>
      <c r="D14" s="113"/>
      <c r="E14" s="115"/>
      <c r="F14" s="113"/>
      <c r="G14" s="115"/>
      <c r="H14" s="113"/>
      <c r="I14" s="115"/>
      <c r="J14" s="113"/>
      <c r="K14" s="114"/>
      <c r="L14" s="113"/>
    </row>
    <row r="15" spans="1:12" ht="12.75">
      <c r="A15" s="105" t="s">
        <v>311</v>
      </c>
      <c r="B15" s="113">
        <v>-2374936</v>
      </c>
      <c r="C15" s="114"/>
      <c r="D15" s="113">
        <v>367679</v>
      </c>
      <c r="E15" s="115"/>
      <c r="F15" s="113">
        <v>367679</v>
      </c>
      <c r="G15" s="115"/>
      <c r="H15" s="113">
        <v>367679</v>
      </c>
      <c r="I15" s="115"/>
      <c r="J15" s="113">
        <v>367679</v>
      </c>
      <c r="K15" s="114"/>
      <c r="L15" s="113">
        <v>367679</v>
      </c>
    </row>
    <row r="16" spans="1:12" ht="12.75">
      <c r="A16" s="105"/>
      <c r="B16" s="113"/>
      <c r="C16" s="114"/>
      <c r="D16" s="113"/>
      <c r="E16" s="115"/>
      <c r="F16" s="113"/>
      <c r="G16" s="115"/>
      <c r="H16" s="113"/>
      <c r="I16" s="115"/>
      <c r="J16" s="113"/>
      <c r="K16" s="114"/>
      <c r="L16" s="113"/>
    </row>
    <row r="17" spans="1:12" ht="12.75">
      <c r="A17" s="105" t="s">
        <v>312</v>
      </c>
      <c r="B17" s="113">
        <v>55017727</v>
      </c>
      <c r="C17" s="114"/>
      <c r="D17" s="113">
        <f>D13+D15</f>
        <v>-10754730</v>
      </c>
      <c r="E17" s="115"/>
      <c r="F17" s="113">
        <f>F13+F15</f>
        <v>65755748</v>
      </c>
      <c r="G17" s="115"/>
      <c r="H17" s="113">
        <f>H13+H15</f>
        <v>93722909.26</v>
      </c>
      <c r="I17" s="115"/>
      <c r="J17" s="113">
        <f>J13+J15</f>
        <v>104655561.26</v>
      </c>
      <c r="K17" s="114"/>
      <c r="L17" s="113">
        <f>L13+L15</f>
        <v>108920922.26</v>
      </c>
    </row>
    <row r="18" spans="1:12" ht="12.75">
      <c r="A18" s="105"/>
      <c r="B18" s="113"/>
      <c r="C18" s="114"/>
      <c r="D18" s="113"/>
      <c r="E18" s="115"/>
      <c r="F18" s="113"/>
      <c r="G18" s="115"/>
      <c r="H18" s="113"/>
      <c r="I18" s="115"/>
      <c r="J18" s="113"/>
      <c r="K18" s="114"/>
      <c r="L18" s="113"/>
    </row>
    <row r="19" spans="1:12" ht="12.75">
      <c r="A19" s="105" t="s">
        <v>90</v>
      </c>
      <c r="B19" s="113">
        <v>-15147975</v>
      </c>
      <c r="C19" s="114"/>
      <c r="D19" s="113">
        <v>-40350495</v>
      </c>
      <c r="E19" s="115"/>
      <c r="F19" s="113">
        <f>D19-F11*0.6</f>
        <v>-86256781.8</v>
      </c>
      <c r="G19" s="115"/>
      <c r="H19" s="113">
        <f>F19</f>
        <v>-86256781.8</v>
      </c>
      <c r="I19" s="115"/>
      <c r="J19" s="113">
        <f>H19</f>
        <v>-86256781.8</v>
      </c>
      <c r="K19" s="114"/>
      <c r="L19" s="113">
        <f>J19</f>
        <v>-86256781.8</v>
      </c>
    </row>
    <row r="20" spans="1:12" ht="12.75">
      <c r="A20" s="105"/>
      <c r="B20" s="113"/>
      <c r="C20" s="114"/>
      <c r="D20" s="113"/>
      <c r="E20" s="115"/>
      <c r="F20" s="113"/>
      <c r="G20" s="115"/>
      <c r="H20" s="113"/>
      <c r="I20" s="115"/>
      <c r="J20" s="113"/>
      <c r="K20" s="114"/>
      <c r="L20" s="113"/>
    </row>
    <row r="21" spans="1:12" ht="12.75">
      <c r="A21" s="105" t="s">
        <v>313</v>
      </c>
      <c r="B21" s="113">
        <v>39869752</v>
      </c>
      <c r="C21" s="114"/>
      <c r="D21" s="113">
        <f>D17+D19</f>
        <v>-51105225</v>
      </c>
      <c r="E21" s="115"/>
      <c r="F21" s="113">
        <f>F17+F19</f>
        <v>-20501033.799999997</v>
      </c>
      <c r="G21" s="115"/>
      <c r="H21" s="113">
        <f>H17+H19</f>
        <v>7466127.460000008</v>
      </c>
      <c r="I21" s="115"/>
      <c r="J21" s="113">
        <f>J17+J19</f>
        <v>18398779.46000001</v>
      </c>
      <c r="K21" s="114"/>
      <c r="L21" s="113">
        <f>L17+L19</f>
        <v>22664140.46000001</v>
      </c>
    </row>
    <row r="22" spans="1:12" ht="13.5" thickBot="1">
      <c r="A22" s="108"/>
      <c r="B22" s="116"/>
      <c r="C22" s="117"/>
      <c r="D22" s="116"/>
      <c r="E22" s="117"/>
      <c r="F22" s="116"/>
      <c r="G22" s="117"/>
      <c r="H22" s="116"/>
      <c r="I22" s="117"/>
      <c r="J22" s="116"/>
      <c r="K22" s="117"/>
      <c r="L22" s="116"/>
    </row>
    <row r="24" ht="12.75">
      <c r="A24" s="102" t="s">
        <v>316</v>
      </c>
    </row>
    <row r="25" ht="12.75">
      <c r="A25" s="50" t="s">
        <v>364</v>
      </c>
    </row>
    <row r="26" ht="12.75">
      <c r="A26" s="50" t="s">
        <v>325</v>
      </c>
    </row>
    <row r="27" ht="12.75">
      <c r="A27" s="50" t="s">
        <v>321</v>
      </c>
    </row>
    <row r="28" ht="12.75">
      <c r="A28" s="50" t="s">
        <v>326</v>
      </c>
    </row>
    <row r="29" ht="12.75">
      <c r="A29" s="50" t="s">
        <v>322</v>
      </c>
    </row>
    <row r="30" ht="12.75">
      <c r="A30" s="50" t="s">
        <v>324</v>
      </c>
    </row>
    <row r="31" ht="12.75">
      <c r="A31" s="50" t="s">
        <v>327</v>
      </c>
    </row>
    <row r="33" ht="12.75">
      <c r="A33" s="102" t="s">
        <v>317</v>
      </c>
    </row>
    <row r="34" ht="12.75">
      <c r="A34" s="50" t="s">
        <v>360</v>
      </c>
    </row>
    <row r="36" ht="12.75">
      <c r="A36" s="102" t="s">
        <v>318</v>
      </c>
    </row>
    <row r="37" ht="12.75">
      <c r="A37" s="50" t="s">
        <v>365</v>
      </c>
    </row>
    <row r="38" ht="12.75">
      <c r="A38" s="50" t="s">
        <v>341</v>
      </c>
    </row>
    <row r="39" ht="12.75">
      <c r="A39" s="50" t="s">
        <v>361</v>
      </c>
    </row>
    <row r="41" ht="12.75">
      <c r="A41" s="102" t="s">
        <v>319</v>
      </c>
    </row>
    <row r="42" ht="12.75">
      <c r="A42" s="50" t="s">
        <v>342</v>
      </c>
    </row>
    <row r="43" ht="12.75">
      <c r="A43" s="50" t="s">
        <v>343</v>
      </c>
    </row>
    <row r="45" ht="12.75">
      <c r="A45" s="102" t="s">
        <v>320</v>
      </c>
    </row>
    <row r="46" ht="12.75">
      <c r="A46" s="50" t="s">
        <v>328</v>
      </c>
    </row>
    <row r="47" ht="12.75">
      <c r="A47" s="50" t="s">
        <v>329</v>
      </c>
    </row>
    <row r="48" ht="12.75">
      <c r="A48" s="50" t="s">
        <v>362</v>
      </c>
    </row>
    <row r="57" ht="12.75">
      <c r="A57" s="50" t="s">
        <v>344</v>
      </c>
    </row>
    <row r="58" ht="6.75" customHeight="1" thickBot="1"/>
    <row r="59" spans="1:6" ht="12.75">
      <c r="A59" s="121" t="s">
        <v>345</v>
      </c>
      <c r="B59" s="104"/>
      <c r="C59" s="104"/>
      <c r="D59" s="122"/>
      <c r="E59" s="121"/>
      <c r="F59" s="125">
        <v>3400000</v>
      </c>
    </row>
    <row r="60" spans="1:6" ht="12.75">
      <c r="A60" s="105" t="s">
        <v>346</v>
      </c>
      <c r="B60" s="106"/>
      <c r="C60" s="106"/>
      <c r="D60" s="123"/>
      <c r="E60" s="105"/>
      <c r="F60" s="107">
        <v>6000000</v>
      </c>
    </row>
    <row r="61" spans="1:6" ht="12.75">
      <c r="A61" s="105" t="s">
        <v>347</v>
      </c>
      <c r="B61" s="106"/>
      <c r="C61" s="106"/>
      <c r="D61" s="123"/>
      <c r="E61" s="105"/>
      <c r="F61" s="107">
        <v>981000</v>
      </c>
    </row>
    <row r="62" spans="1:6" ht="12.75">
      <c r="A62" s="105" t="s">
        <v>348</v>
      </c>
      <c r="B62" s="106"/>
      <c r="C62" s="106"/>
      <c r="D62" s="123"/>
      <c r="E62" s="105"/>
      <c r="F62" s="107">
        <v>1125000</v>
      </c>
    </row>
    <row r="63" spans="1:6" ht="12.75">
      <c r="A63" s="105" t="s">
        <v>349</v>
      </c>
      <c r="B63" s="106"/>
      <c r="C63" s="106"/>
      <c r="D63" s="123"/>
      <c r="E63" s="105"/>
      <c r="F63" s="107">
        <v>670068</v>
      </c>
    </row>
    <row r="64" spans="1:6" ht="12.75">
      <c r="A64" s="105" t="s">
        <v>350</v>
      </c>
      <c r="B64" s="106"/>
      <c r="C64" s="106"/>
      <c r="D64" s="123"/>
      <c r="E64" s="105"/>
      <c r="F64" s="107">
        <v>8431944</v>
      </c>
    </row>
    <row r="65" spans="1:6" ht="12.75">
      <c r="A65" s="105" t="s">
        <v>351</v>
      </c>
      <c r="B65" s="106"/>
      <c r="C65" s="106"/>
      <c r="D65" s="123"/>
      <c r="E65" s="105"/>
      <c r="F65" s="107">
        <v>455928</v>
      </c>
    </row>
    <row r="66" spans="1:6" ht="12.75">
      <c r="A66" s="105" t="s">
        <v>352</v>
      </c>
      <c r="B66" s="106"/>
      <c r="C66" s="106"/>
      <c r="D66" s="123"/>
      <c r="E66" s="105"/>
      <c r="F66" s="107">
        <v>245390</v>
      </c>
    </row>
    <row r="67" spans="1:6" ht="12.75">
      <c r="A67" s="105" t="s">
        <v>353</v>
      </c>
      <c r="B67" s="106"/>
      <c r="C67" s="106"/>
      <c r="D67" s="123"/>
      <c r="E67" s="105"/>
      <c r="F67" s="107">
        <v>76150</v>
      </c>
    </row>
    <row r="68" spans="1:6" ht="13.5" thickBot="1">
      <c r="A68" s="105" t="s">
        <v>354</v>
      </c>
      <c r="B68" s="106"/>
      <c r="C68" s="106"/>
      <c r="D68" s="123"/>
      <c r="E68" s="105"/>
      <c r="F68" s="107">
        <v>109720</v>
      </c>
    </row>
    <row r="69" spans="1:256" s="101" customFormat="1" ht="13.5" thickBot="1">
      <c r="A69" s="118" t="s">
        <v>87</v>
      </c>
      <c r="B69" s="119"/>
      <c r="C69" s="119"/>
      <c r="D69" s="124"/>
      <c r="E69" s="118"/>
      <c r="F69" s="120">
        <f>SUM(F59:F68)</f>
        <v>21495200</v>
      </c>
      <c r="IV69" s="62"/>
    </row>
    <row r="71" ht="12.75">
      <c r="A71" s="50" t="s">
        <v>355</v>
      </c>
    </row>
    <row r="72" ht="6.75" customHeight="1" thickBot="1"/>
    <row r="73" spans="1:6" ht="12.75">
      <c r="A73" s="121" t="s">
        <v>356</v>
      </c>
      <c r="B73" s="104"/>
      <c r="C73" s="104"/>
      <c r="D73" s="122"/>
      <c r="E73" s="121"/>
      <c r="F73" s="125">
        <v>523425</v>
      </c>
    </row>
    <row r="74" spans="1:6" ht="12.75">
      <c r="A74" s="105" t="s">
        <v>357</v>
      </c>
      <c r="B74" s="106"/>
      <c r="C74" s="106"/>
      <c r="D74" s="123"/>
      <c r="E74" s="105"/>
      <c r="F74" s="107">
        <v>594495</v>
      </c>
    </row>
    <row r="75" spans="1:6" ht="12.75">
      <c r="A75" s="105" t="s">
        <v>358</v>
      </c>
      <c r="B75" s="106"/>
      <c r="C75" s="106"/>
      <c r="D75" s="123"/>
      <c r="E75" s="105"/>
      <c r="F75" s="107">
        <v>518018</v>
      </c>
    </row>
    <row r="76" spans="1:6" ht="12.75">
      <c r="A76" s="105" t="s">
        <v>177</v>
      </c>
      <c r="B76" s="106"/>
      <c r="C76" s="106"/>
      <c r="D76" s="123"/>
      <c r="E76" s="105"/>
      <c r="F76" s="107">
        <v>473245</v>
      </c>
    </row>
    <row r="77" spans="1:6" ht="13.5" thickBot="1">
      <c r="A77" s="105" t="s">
        <v>359</v>
      </c>
      <c r="B77" s="106"/>
      <c r="C77" s="106"/>
      <c r="D77" s="123"/>
      <c r="E77" s="105"/>
      <c r="F77" s="107">
        <v>1097393</v>
      </c>
    </row>
    <row r="78" spans="1:6" ht="13.5" thickBot="1">
      <c r="A78" s="118" t="s">
        <v>87</v>
      </c>
      <c r="B78" s="126"/>
      <c r="C78" s="126"/>
      <c r="D78" s="128"/>
      <c r="E78" s="127"/>
      <c r="F78" s="129">
        <f>SUM(F73:F77)</f>
        <v>3206576</v>
      </c>
    </row>
  </sheetData>
  <printOptions horizontalCentered="1"/>
  <pageMargins left="0.35433070866141736" right="0.31496062992125984" top="0.984251968503937" bottom="0.984251968503937" header="0.5118110236220472" footer="0.5118110236220472"/>
  <pageSetup horizontalDpi="300" verticalDpi="300" orientation="portrait" r:id="rId1"/>
  <headerFooter alignWithMargins="0">
    <oddFooter>&amp;RMM&amp;F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workbookViewId="0" topLeftCell="A1">
      <selection activeCell="A8" sqref="A8"/>
    </sheetView>
  </sheetViews>
  <sheetFormatPr defaultColWidth="9.140625" defaultRowHeight="12.75"/>
  <cols>
    <col min="1" max="1" width="30.421875" style="0" customWidth="1"/>
    <col min="2" max="2" width="20.140625" style="0" customWidth="1"/>
    <col min="3" max="3" width="3.7109375" style="0" hidden="1" customWidth="1"/>
    <col min="4" max="4" width="19.421875" style="135" customWidth="1"/>
    <col min="5" max="5" width="19.7109375" style="0" customWidth="1"/>
    <col min="6" max="6" width="3.7109375" style="0" hidden="1" customWidth="1"/>
    <col min="7" max="7" width="19.28125" style="135" customWidth="1"/>
  </cols>
  <sheetData>
    <row r="1" ht="15.75">
      <c r="A1" s="2" t="s">
        <v>226</v>
      </c>
    </row>
    <row r="2" ht="12.75">
      <c r="A2" s="65" t="s">
        <v>34</v>
      </c>
    </row>
    <row r="4" ht="15.75">
      <c r="A4" s="2" t="s">
        <v>37</v>
      </c>
    </row>
    <row r="5" spans="1:2" ht="15.75">
      <c r="A5" s="2" t="s">
        <v>295</v>
      </c>
      <c r="B5" s="173"/>
    </row>
    <row r="6" spans="1:2" ht="15">
      <c r="A6" s="62" t="s">
        <v>284</v>
      </c>
      <c r="B6" s="173"/>
    </row>
    <row r="8" ht="15.75">
      <c r="A8" s="2"/>
    </row>
    <row r="10" spans="1:7" ht="12.75">
      <c r="A10" s="59"/>
      <c r="B10" s="274" t="s">
        <v>71</v>
      </c>
      <c r="C10" s="275"/>
      <c r="D10" s="276"/>
      <c r="E10" s="277" t="s">
        <v>72</v>
      </c>
      <c r="F10" s="278"/>
      <c r="G10" s="279"/>
    </row>
    <row r="11" spans="1:7" ht="12.75">
      <c r="A11" s="60"/>
      <c r="B11" s="56" t="s">
        <v>186</v>
      </c>
      <c r="C11" s="3"/>
      <c r="D11" s="136" t="s">
        <v>187</v>
      </c>
      <c r="E11" s="56" t="s">
        <v>186</v>
      </c>
      <c r="F11" s="59"/>
      <c r="G11" s="136" t="s">
        <v>187</v>
      </c>
    </row>
    <row r="12" spans="1:7" ht="12.75">
      <c r="A12" s="60"/>
      <c r="B12" s="57" t="s">
        <v>75</v>
      </c>
      <c r="C12" s="3"/>
      <c r="D12" s="137" t="s">
        <v>189</v>
      </c>
      <c r="E12" s="57" t="s">
        <v>188</v>
      </c>
      <c r="F12" s="60"/>
      <c r="G12" s="137" t="s">
        <v>189</v>
      </c>
    </row>
    <row r="13" spans="1:7" ht="12.75">
      <c r="A13" s="60"/>
      <c r="B13" s="57" t="s">
        <v>288</v>
      </c>
      <c r="C13" s="3"/>
      <c r="D13" s="137" t="s">
        <v>288</v>
      </c>
      <c r="E13" s="57" t="s">
        <v>73</v>
      </c>
      <c r="F13" s="60"/>
      <c r="G13" s="137" t="s">
        <v>74</v>
      </c>
    </row>
    <row r="14" spans="1:7" ht="12.75">
      <c r="A14" s="60"/>
      <c r="B14" s="87" t="s">
        <v>296</v>
      </c>
      <c r="C14" s="3"/>
      <c r="D14" s="138" t="s">
        <v>229</v>
      </c>
      <c r="E14" s="87" t="s">
        <v>296</v>
      </c>
      <c r="F14" s="57"/>
      <c r="G14" s="138" t="s">
        <v>229</v>
      </c>
    </row>
    <row r="15" spans="1:7" ht="12.75">
      <c r="A15" s="164"/>
      <c r="B15" s="58" t="s">
        <v>190</v>
      </c>
      <c r="C15" s="3"/>
      <c r="D15" s="139" t="s">
        <v>190</v>
      </c>
      <c r="E15" s="58" t="s">
        <v>190</v>
      </c>
      <c r="F15" s="57"/>
      <c r="G15" s="139" t="s">
        <v>190</v>
      </c>
    </row>
    <row r="16" spans="1:7" ht="12.75">
      <c r="A16" s="59"/>
      <c r="B16" s="14"/>
      <c r="C16" s="14"/>
      <c r="D16" s="163"/>
      <c r="E16" s="54"/>
      <c r="F16" s="60"/>
      <c r="G16" s="163"/>
    </row>
    <row r="17" spans="1:7" ht="12.75">
      <c r="A17" s="161" t="s">
        <v>53</v>
      </c>
      <c r="B17" s="51">
        <f>+E17-404964</f>
        <v>119019</v>
      </c>
      <c r="C17" s="51"/>
      <c r="D17" s="178">
        <f>G17-713925</f>
        <v>335438</v>
      </c>
      <c r="E17" s="179">
        <v>523983</v>
      </c>
      <c r="F17" s="180"/>
      <c r="G17" s="178">
        <v>1049363</v>
      </c>
    </row>
    <row r="18" spans="1:7" ht="15.75">
      <c r="A18" s="162"/>
      <c r="B18" s="51"/>
      <c r="C18" s="51"/>
      <c r="D18" s="178"/>
      <c r="E18" s="179"/>
      <c r="F18" s="180"/>
      <c r="G18" s="178"/>
    </row>
    <row r="19" spans="1:7" ht="12.75">
      <c r="A19" s="161"/>
      <c r="B19" s="51"/>
      <c r="C19" s="51"/>
      <c r="D19" s="178"/>
      <c r="E19" s="179"/>
      <c r="F19" s="180"/>
      <c r="G19" s="178"/>
    </row>
    <row r="20" spans="1:7" ht="12.75">
      <c r="A20" s="161" t="s">
        <v>272</v>
      </c>
      <c r="B20" s="51">
        <f>E20+396360</f>
        <v>-165984</v>
      </c>
      <c r="C20" s="51"/>
      <c r="D20" s="178">
        <f>G20+615124</f>
        <v>-322918</v>
      </c>
      <c r="E20" s="179">
        <v>-562344</v>
      </c>
      <c r="F20" s="180"/>
      <c r="G20" s="178">
        <v>-938042</v>
      </c>
    </row>
    <row r="21" spans="1:7" ht="12.75">
      <c r="A21" s="161"/>
      <c r="B21" s="51"/>
      <c r="C21" s="51"/>
      <c r="D21" s="178"/>
      <c r="E21" s="179"/>
      <c r="F21" s="180"/>
      <c r="G21" s="178"/>
    </row>
    <row r="22" spans="1:7" ht="12.75">
      <c r="A22" s="161"/>
      <c r="B22" s="51"/>
      <c r="C22" s="51"/>
      <c r="D22" s="178"/>
      <c r="E22" s="179"/>
      <c r="F22" s="180"/>
      <c r="G22" s="178"/>
    </row>
    <row r="23" spans="1:7" ht="12.75">
      <c r="A23" s="161" t="s">
        <v>273</v>
      </c>
      <c r="B23" s="51">
        <f>+E23-7245</f>
        <v>4840</v>
      </c>
      <c r="C23" s="51"/>
      <c r="D23" s="178">
        <f>G23-8920</f>
        <v>14423</v>
      </c>
      <c r="E23" s="179">
        <v>12085</v>
      </c>
      <c r="F23" s="180"/>
      <c r="G23" s="178">
        <v>23343</v>
      </c>
    </row>
    <row r="24" spans="1:7" ht="12.75">
      <c r="A24" s="161"/>
      <c r="B24" s="51"/>
      <c r="C24" s="51"/>
      <c r="D24" s="178"/>
      <c r="E24" s="179"/>
      <c r="F24" s="180"/>
      <c r="G24" s="178"/>
    </row>
    <row r="25" spans="1:7" ht="12.75">
      <c r="A25" s="161"/>
      <c r="B25" s="51"/>
      <c r="C25" s="51"/>
      <c r="D25" s="178"/>
      <c r="E25" s="179"/>
      <c r="F25" s="180"/>
      <c r="G25" s="178"/>
    </row>
    <row r="26" spans="1:7" ht="12.75">
      <c r="A26" s="161" t="s">
        <v>379</v>
      </c>
      <c r="B26" s="181">
        <f>SUM(B17:B23)</f>
        <v>-42125</v>
      </c>
      <c r="C26" s="181">
        <f>SUM(C17:C23)</f>
        <v>0</v>
      </c>
      <c r="D26" s="182">
        <f>SUM(D17:D23)</f>
        <v>26943</v>
      </c>
      <c r="E26" s="183">
        <f>SUM(E17:E23)</f>
        <v>-26276</v>
      </c>
      <c r="F26" s="180"/>
      <c r="G26" s="182">
        <f>SUM(G17:G23)</f>
        <v>134664</v>
      </c>
    </row>
    <row r="27" spans="1:7" ht="12.75">
      <c r="A27" s="161"/>
      <c r="B27" s="51"/>
      <c r="C27" s="51"/>
      <c r="D27" s="178"/>
      <c r="E27" s="179"/>
      <c r="F27" s="180"/>
      <c r="G27" s="178"/>
    </row>
    <row r="28" spans="1:7" ht="12.75">
      <c r="A28" s="161"/>
      <c r="B28" s="51"/>
      <c r="C28" s="51"/>
      <c r="D28" s="178"/>
      <c r="E28" s="179"/>
      <c r="F28" s="180"/>
      <c r="G28" s="178"/>
    </row>
    <row r="29" spans="1:7" ht="12.75">
      <c r="A29" s="161" t="s">
        <v>274</v>
      </c>
      <c r="B29" s="51">
        <f>E29+41358</f>
        <v>-14507</v>
      </c>
      <c r="C29" s="51"/>
      <c r="D29" s="178">
        <f>G29+43407</f>
        <v>-15869</v>
      </c>
      <c r="E29" s="179">
        <v>-55865</v>
      </c>
      <c r="F29" s="180"/>
      <c r="G29" s="178">
        <v>-59276</v>
      </c>
    </row>
    <row r="30" spans="1:7" ht="12.75">
      <c r="A30" s="161"/>
      <c r="B30" s="51"/>
      <c r="C30" s="51"/>
      <c r="D30" s="178"/>
      <c r="E30" s="179"/>
      <c r="F30" s="180"/>
      <c r="G30" s="178"/>
    </row>
    <row r="31" spans="1:7" ht="12.75">
      <c r="A31" s="161" t="s">
        <v>45</v>
      </c>
      <c r="B31" s="51">
        <f>E31</f>
        <v>28814</v>
      </c>
      <c r="C31" s="51"/>
      <c r="D31" s="178">
        <v>15322</v>
      </c>
      <c r="E31" s="179">
        <v>28814</v>
      </c>
      <c r="F31" s="180"/>
      <c r="G31" s="178">
        <v>15322</v>
      </c>
    </row>
    <row r="32" spans="1:7" ht="12.75">
      <c r="A32" s="161" t="s">
        <v>46</v>
      </c>
      <c r="B32" s="51"/>
      <c r="C32" s="51"/>
      <c r="D32" s="178"/>
      <c r="E32" s="179"/>
      <c r="F32" s="180"/>
      <c r="G32" s="178"/>
    </row>
    <row r="33" spans="1:7" ht="12.75">
      <c r="A33" s="161"/>
      <c r="B33" s="51"/>
      <c r="C33" s="51"/>
      <c r="D33" s="178"/>
      <c r="E33" s="179"/>
      <c r="F33" s="180"/>
      <c r="G33" s="178"/>
    </row>
    <row r="34" spans="1:7" ht="12.75">
      <c r="A34" s="161" t="s">
        <v>77</v>
      </c>
      <c r="B34" s="51">
        <f>E34</f>
        <v>-67095</v>
      </c>
      <c r="C34" s="51"/>
      <c r="D34" s="178">
        <v>0</v>
      </c>
      <c r="E34" s="179">
        <v>-67095</v>
      </c>
      <c r="F34" s="180"/>
      <c r="G34" s="178">
        <v>0</v>
      </c>
    </row>
    <row r="35" spans="1:7" ht="12.75">
      <c r="A35" s="161"/>
      <c r="B35" s="51"/>
      <c r="C35" s="51"/>
      <c r="D35" s="178"/>
      <c r="E35" s="179"/>
      <c r="F35" s="180"/>
      <c r="G35" s="178"/>
    </row>
    <row r="36" spans="1:7" ht="12.75">
      <c r="A36" s="161" t="s">
        <v>378</v>
      </c>
      <c r="B36" s="51">
        <f>E36</f>
        <v>-17905</v>
      </c>
      <c r="C36" s="51"/>
      <c r="D36" s="178">
        <v>0</v>
      </c>
      <c r="E36" s="179">
        <v>-17905</v>
      </c>
      <c r="F36" s="180"/>
      <c r="G36" s="178">
        <v>0</v>
      </c>
    </row>
    <row r="37" spans="1:7" ht="12.75">
      <c r="A37" s="60"/>
      <c r="B37" s="244"/>
      <c r="C37" s="51"/>
      <c r="D37" s="178"/>
      <c r="E37" s="179"/>
      <c r="F37" s="180"/>
      <c r="G37" s="178"/>
    </row>
    <row r="38" spans="1:7" ht="12.75">
      <c r="A38" s="161" t="s">
        <v>383</v>
      </c>
      <c r="B38" s="244"/>
      <c r="C38" s="51"/>
      <c r="D38" s="178"/>
      <c r="E38" s="179"/>
      <c r="F38" s="180"/>
      <c r="G38" s="178"/>
    </row>
    <row r="39" spans="1:7" ht="12.75">
      <c r="A39" s="161" t="s">
        <v>396</v>
      </c>
      <c r="B39" s="244"/>
      <c r="C39" s="51"/>
      <c r="D39" s="178"/>
      <c r="E39" s="179"/>
      <c r="F39" s="180"/>
      <c r="G39" s="178"/>
    </row>
    <row r="40" spans="1:7" ht="12.75">
      <c r="A40" s="161" t="s">
        <v>384</v>
      </c>
      <c r="B40" s="244">
        <f>E40</f>
        <v>-349807</v>
      </c>
      <c r="C40" s="51"/>
      <c r="D40" s="178">
        <v>0</v>
      </c>
      <c r="E40" s="179">
        <v>-349807</v>
      </c>
      <c r="F40" s="180"/>
      <c r="G40" s="178">
        <v>0</v>
      </c>
    </row>
    <row r="41" spans="1:7" ht="12.75">
      <c r="A41" s="161"/>
      <c r="B41" s="51"/>
      <c r="C41" s="51"/>
      <c r="D41" s="178"/>
      <c r="E41" s="179"/>
      <c r="F41" s="180"/>
      <c r="G41" s="178"/>
    </row>
    <row r="42" spans="1:7" ht="12.75">
      <c r="A42" s="161" t="s">
        <v>380</v>
      </c>
      <c r="B42" s="181">
        <f>SUM(B26:B41)</f>
        <v>-462625</v>
      </c>
      <c r="C42" s="181">
        <f>SUM(C26:C29)</f>
        <v>0</v>
      </c>
      <c r="D42" s="182">
        <f>SUM(D26:D41)</f>
        <v>26396</v>
      </c>
      <c r="E42" s="183">
        <f>SUM(E26:E41)</f>
        <v>-488134</v>
      </c>
      <c r="F42" s="180"/>
      <c r="G42" s="182">
        <f>SUM(G26:G41)</f>
        <v>90710</v>
      </c>
    </row>
    <row r="43" spans="1:7" ht="12.75">
      <c r="A43" s="161"/>
      <c r="B43" s="51"/>
      <c r="C43" s="51"/>
      <c r="D43" s="178"/>
      <c r="E43" s="179"/>
      <c r="F43" s="180"/>
      <c r="G43" s="178"/>
    </row>
    <row r="44" spans="1:7" ht="12.75">
      <c r="A44" s="161"/>
      <c r="B44" s="51"/>
      <c r="C44" s="51"/>
      <c r="D44" s="178"/>
      <c r="E44" s="179"/>
      <c r="F44" s="180"/>
      <c r="G44" s="178"/>
    </row>
    <row r="45" spans="1:7" ht="12.75">
      <c r="A45" s="161" t="s">
        <v>153</v>
      </c>
      <c r="B45" s="51">
        <f>E45-18333</f>
        <v>-416</v>
      </c>
      <c r="C45" s="51"/>
      <c r="D45" s="178">
        <f>G45-23881</f>
        <v>5412</v>
      </c>
      <c r="E45" s="179">
        <v>17917</v>
      </c>
      <c r="F45" s="180"/>
      <c r="G45" s="178">
        <v>29293</v>
      </c>
    </row>
    <row r="46" spans="1:7" ht="12.75">
      <c r="A46" s="161"/>
      <c r="B46" s="51"/>
      <c r="C46" s="51"/>
      <c r="D46" s="178"/>
      <c r="E46" s="179"/>
      <c r="F46" s="180"/>
      <c r="G46" s="178"/>
    </row>
    <row r="47" spans="1:7" ht="12.75">
      <c r="A47" s="161"/>
      <c r="B47" s="51"/>
      <c r="C47" s="51"/>
      <c r="D47" s="178"/>
      <c r="E47" s="179"/>
      <c r="F47" s="180"/>
      <c r="G47" s="178"/>
    </row>
    <row r="48" spans="1:7" ht="12.75">
      <c r="A48" s="161" t="s">
        <v>385</v>
      </c>
      <c r="B48" s="181">
        <f>SUM(B42:B45)</f>
        <v>-463041</v>
      </c>
      <c r="C48" s="51"/>
      <c r="D48" s="182">
        <f>SUM(D42:D45)</f>
        <v>31808</v>
      </c>
      <c r="E48" s="183">
        <f>SUM(E42:E45)</f>
        <v>-470217</v>
      </c>
      <c r="F48" s="180"/>
      <c r="G48" s="182">
        <f>SUM(G42:G45)</f>
        <v>120003</v>
      </c>
    </row>
    <row r="49" spans="1:7" ht="12.75">
      <c r="A49" s="161"/>
      <c r="B49" s="51"/>
      <c r="C49" s="51"/>
      <c r="D49" s="178"/>
      <c r="E49" s="179"/>
      <c r="F49" s="180"/>
      <c r="G49" s="178"/>
    </row>
    <row r="50" spans="1:7" ht="12.75">
      <c r="A50" s="161"/>
      <c r="B50" s="51"/>
      <c r="C50" s="51"/>
      <c r="D50" s="178"/>
      <c r="E50" s="179"/>
      <c r="F50" s="180"/>
      <c r="G50" s="178"/>
    </row>
    <row r="51" spans="1:7" ht="12.75">
      <c r="A51" s="161" t="s">
        <v>275</v>
      </c>
      <c r="B51" s="51">
        <f>E51+8096</f>
        <v>86716</v>
      </c>
      <c r="C51" s="51"/>
      <c r="D51" s="178">
        <f>G51+26644</f>
        <v>-1560</v>
      </c>
      <c r="E51" s="179">
        <v>78620</v>
      </c>
      <c r="F51" s="180"/>
      <c r="G51" s="178">
        <v>-28204</v>
      </c>
    </row>
    <row r="52" spans="1:7" ht="12.75">
      <c r="A52" s="161"/>
      <c r="B52" s="51"/>
      <c r="C52" s="51"/>
      <c r="D52" s="184"/>
      <c r="E52" s="179"/>
      <c r="F52" s="180"/>
      <c r="G52" s="178"/>
    </row>
    <row r="53" spans="1:7" ht="22.5" customHeight="1">
      <c r="A53" s="192" t="s">
        <v>381</v>
      </c>
      <c r="B53" s="185">
        <f>SUM(B48:B51)</f>
        <v>-376325</v>
      </c>
      <c r="C53" s="186"/>
      <c r="D53" s="189">
        <f>SUM(D48:D51)</f>
        <v>30248</v>
      </c>
      <c r="E53" s="187">
        <f>SUM(E48:E51)</f>
        <v>-391597</v>
      </c>
      <c r="F53" s="188"/>
      <c r="G53" s="189">
        <f>SUM(G48:G51)</f>
        <v>91799</v>
      </c>
    </row>
    <row r="54" ht="12.75">
      <c r="A54" s="62"/>
    </row>
    <row r="55" ht="12.75">
      <c r="A55" s="62"/>
    </row>
    <row r="56" spans="1:7" ht="12.75">
      <c r="A56" s="62" t="s">
        <v>227</v>
      </c>
      <c r="B56" s="194"/>
      <c r="C56" s="194"/>
      <c r="D56" s="243"/>
      <c r="E56" s="194"/>
      <c r="F56" s="194"/>
      <c r="G56" s="243"/>
    </row>
    <row r="57" spans="1:7" ht="12.75">
      <c r="A57" s="62" t="s">
        <v>228</v>
      </c>
      <c r="B57" s="249">
        <f>B53/171446*100</f>
        <v>-219.5006007722548</v>
      </c>
      <c r="C57" s="249">
        <f>C53/79130*100</f>
        <v>0</v>
      </c>
      <c r="D57" s="249">
        <f>D53/158258*100</f>
        <v>19.113093808843786</v>
      </c>
      <c r="E57" s="249">
        <f>E53/171446*100</f>
        <v>-228.40836181654868</v>
      </c>
      <c r="F57" s="142"/>
      <c r="G57" s="242">
        <f>G53/158258*100</f>
        <v>58.00591439295329</v>
      </c>
    </row>
    <row r="60" ht="12.75">
      <c r="A60" s="62" t="s">
        <v>234</v>
      </c>
    </row>
    <row r="61" ht="12.75">
      <c r="A61" s="62" t="s">
        <v>368</v>
      </c>
    </row>
    <row r="63" ht="12.75">
      <c r="A63" s="62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&amp;C&amp;"Arial,Bold"&amp;12PSC INDUSTRIES BERHAD
(11106-V)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C16" sqref="C16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280" t="s">
        <v>78</v>
      </c>
      <c r="B1" s="281"/>
      <c r="C1" s="281"/>
      <c r="D1" s="281"/>
      <c r="E1" s="281"/>
      <c r="F1" s="282"/>
    </row>
    <row r="2" spans="1:6" ht="12.75">
      <c r="A2" s="287" t="s">
        <v>255</v>
      </c>
      <c r="B2" s="288"/>
      <c r="C2" s="288"/>
      <c r="D2" s="288"/>
      <c r="E2" s="288"/>
      <c r="F2" s="289"/>
    </row>
    <row r="3" spans="1:6" ht="15.75">
      <c r="A3" s="82"/>
      <c r="B3" s="81"/>
      <c r="C3" s="81"/>
      <c r="D3" s="81"/>
      <c r="E3" s="81"/>
      <c r="F3" s="81"/>
    </row>
    <row r="4" spans="1:6" ht="15.75">
      <c r="A4" s="283" t="s">
        <v>38</v>
      </c>
      <c r="B4" s="284"/>
      <c r="C4" s="284"/>
      <c r="D4" s="284"/>
      <c r="E4" s="284"/>
      <c r="F4" s="284"/>
    </row>
    <row r="5" spans="1:6" ht="12.75">
      <c r="A5" s="285" t="s">
        <v>284</v>
      </c>
      <c r="B5" s="286"/>
      <c r="C5" s="286"/>
      <c r="D5" s="286"/>
      <c r="E5" s="286"/>
      <c r="F5" s="286"/>
    </row>
    <row r="8" spans="4:6" ht="12.75">
      <c r="D8" s="83" t="s">
        <v>39</v>
      </c>
      <c r="E8" s="83"/>
      <c r="F8" s="83" t="s">
        <v>40</v>
      </c>
    </row>
    <row r="9" spans="4:6" ht="12.75">
      <c r="D9" s="3" t="s">
        <v>191</v>
      </c>
      <c r="E9" s="3"/>
      <c r="F9" s="3" t="s">
        <v>191</v>
      </c>
    </row>
    <row r="10" spans="4:6" ht="12.75">
      <c r="D10" s="84" t="s">
        <v>296</v>
      </c>
      <c r="E10" s="3"/>
      <c r="F10" s="84" t="s">
        <v>229</v>
      </c>
    </row>
    <row r="11" spans="4:6" ht="12.75">
      <c r="D11" s="3" t="s">
        <v>190</v>
      </c>
      <c r="E11" s="3"/>
      <c r="F11" s="3" t="s">
        <v>190</v>
      </c>
    </row>
    <row r="13" spans="2:6" ht="12.75">
      <c r="B13" t="s">
        <v>57</v>
      </c>
      <c r="D13" s="5">
        <v>497776</v>
      </c>
      <c r="F13" s="5">
        <v>515671</v>
      </c>
    </row>
    <row r="14" spans="4:6" ht="6" customHeight="1">
      <c r="D14" s="5"/>
      <c r="F14" s="5"/>
    </row>
    <row r="15" spans="2:6" ht="12.75">
      <c r="B15" t="s">
        <v>215</v>
      </c>
      <c r="D15" s="5">
        <v>823763</v>
      </c>
      <c r="F15" s="5">
        <v>714001</v>
      </c>
    </row>
    <row r="16" spans="4:6" ht="6" customHeight="1">
      <c r="D16" s="5"/>
      <c r="F16" s="5"/>
    </row>
    <row r="17" spans="2:6" ht="12.75">
      <c r="B17" t="s">
        <v>216</v>
      </c>
      <c r="D17" s="5">
        <f>71634</f>
        <v>71634</v>
      </c>
      <c r="F17" s="5">
        <v>71599</v>
      </c>
    </row>
    <row r="18" spans="4:6" ht="6" customHeight="1">
      <c r="D18" s="5"/>
      <c r="F18" s="5"/>
    </row>
    <row r="19" spans="4:6" ht="12.75">
      <c r="D19" s="5"/>
      <c r="F19" s="5"/>
    </row>
    <row r="20" spans="2:6" ht="12.75">
      <c r="B20" s="65" t="s">
        <v>289</v>
      </c>
      <c r="D20" s="5"/>
      <c r="F20" s="5"/>
    </row>
    <row r="21" spans="3:6" ht="18.75" customHeight="1">
      <c r="C21" s="61" t="s">
        <v>181</v>
      </c>
      <c r="D21" s="85">
        <v>16031</v>
      </c>
      <c r="F21" s="85">
        <v>12533</v>
      </c>
    </row>
    <row r="22" spans="3:6" ht="12.75" customHeight="1">
      <c r="C22" s="61" t="s">
        <v>225</v>
      </c>
      <c r="D22" s="7">
        <v>258269</v>
      </c>
      <c r="F22" s="7">
        <v>281446</v>
      </c>
    </row>
    <row r="23" spans="3:6" ht="12.75" customHeight="1">
      <c r="C23" s="61" t="s">
        <v>330</v>
      </c>
      <c r="D23" s="7">
        <v>476938</v>
      </c>
      <c r="F23" s="7">
        <v>514280</v>
      </c>
    </row>
    <row r="24" spans="3:6" ht="12.75">
      <c r="C24" s="4" t="s">
        <v>42</v>
      </c>
      <c r="D24" s="7">
        <v>264723</v>
      </c>
      <c r="F24" s="7">
        <v>467348</v>
      </c>
    </row>
    <row r="25" spans="3:6" ht="4.5" customHeight="1">
      <c r="C25" s="4"/>
      <c r="D25" s="85"/>
      <c r="F25" s="85"/>
    </row>
    <row r="26" spans="3:6" ht="12.75">
      <c r="C26" s="4"/>
      <c r="D26" s="8">
        <f>SUM(D21:D25)</f>
        <v>1015961</v>
      </c>
      <c r="F26" s="8">
        <f>SUM(F21:F25)</f>
        <v>1275607</v>
      </c>
    </row>
    <row r="27" spans="3:6" ht="12.75">
      <c r="C27" s="86"/>
      <c r="D27" s="5"/>
      <c r="F27" s="5"/>
    </row>
    <row r="28" spans="2:6" ht="12.75">
      <c r="B28" s="65" t="s">
        <v>192</v>
      </c>
      <c r="D28" s="5"/>
      <c r="F28" s="5"/>
    </row>
    <row r="29" spans="3:6" ht="18.75" customHeight="1">
      <c r="C29" s="4" t="s">
        <v>331</v>
      </c>
      <c r="D29" s="145">
        <v>873005</v>
      </c>
      <c r="F29" s="85">
        <v>751102</v>
      </c>
    </row>
    <row r="30" spans="3:6" ht="12.75">
      <c r="C30" s="4" t="s">
        <v>217</v>
      </c>
      <c r="D30" s="7">
        <v>985204</v>
      </c>
      <c r="F30" s="7">
        <v>565265</v>
      </c>
    </row>
    <row r="31" spans="3:6" ht="12.75">
      <c r="C31" s="4" t="s">
        <v>153</v>
      </c>
      <c r="D31" s="7">
        <v>3315</v>
      </c>
      <c r="F31" s="7">
        <v>22037</v>
      </c>
    </row>
    <row r="32" spans="3:6" ht="6" customHeight="1">
      <c r="C32" s="4"/>
      <c r="D32" s="85"/>
      <c r="F32" s="59"/>
    </row>
    <row r="33" spans="3:6" ht="12.75">
      <c r="C33" s="4"/>
      <c r="D33" s="8">
        <f>SUM(D29:D32)</f>
        <v>1861524</v>
      </c>
      <c r="F33" s="8">
        <f>SUM(F29:F32)</f>
        <v>1338404</v>
      </c>
    </row>
    <row r="34" spans="3:4" ht="12.75">
      <c r="C34" s="86"/>
      <c r="D34" s="5"/>
    </row>
    <row r="35" spans="2:6" ht="12.75">
      <c r="B35" s="65" t="s">
        <v>94</v>
      </c>
      <c r="D35" s="5">
        <f>D26-D33</f>
        <v>-845563</v>
      </c>
      <c r="F35" s="5">
        <f>F26-F33</f>
        <v>-62797</v>
      </c>
    </row>
    <row r="36" ht="9" customHeight="1">
      <c r="D36" s="5"/>
    </row>
    <row r="37" spans="4:6" ht="21.75" customHeight="1" thickBot="1">
      <c r="D37" s="11">
        <f>SUM(D13:D18)+D35</f>
        <v>547610</v>
      </c>
      <c r="F37" s="11">
        <f>SUM(F13:F18)+F35</f>
        <v>1238474</v>
      </c>
    </row>
    <row r="38" ht="13.5" thickTop="1">
      <c r="D38" s="5"/>
    </row>
    <row r="39" spans="2:4" ht="12.75">
      <c r="B39" s="62"/>
      <c r="D39" s="5"/>
    </row>
    <row r="40" spans="2:6" ht="12.75">
      <c r="B40" t="s">
        <v>194</v>
      </c>
      <c r="D40" s="5">
        <v>174083</v>
      </c>
      <c r="F40" s="5">
        <v>158258</v>
      </c>
    </row>
    <row r="41" spans="2:6" ht="12.75">
      <c r="B41" s="65" t="s">
        <v>195</v>
      </c>
      <c r="D41" s="5">
        <v>-35638</v>
      </c>
      <c r="F41" s="5">
        <v>310212</v>
      </c>
    </row>
    <row r="42" spans="2:6" ht="12.75">
      <c r="B42" s="65" t="s">
        <v>193</v>
      </c>
      <c r="C42" s="4"/>
      <c r="D42" s="141">
        <f>D40+D41</f>
        <v>138445</v>
      </c>
      <c r="F42" s="141">
        <f>F40+F41</f>
        <v>468470</v>
      </c>
    </row>
    <row r="43" spans="2:6" ht="12.75">
      <c r="B43" s="65"/>
      <c r="C43" s="4"/>
      <c r="D43" s="9"/>
      <c r="F43" s="9"/>
    </row>
    <row r="44" spans="2:6" ht="12.75">
      <c r="B44" t="s">
        <v>196</v>
      </c>
      <c r="D44" s="5">
        <v>101173</v>
      </c>
      <c r="F44" s="5">
        <v>179304</v>
      </c>
    </row>
    <row r="45" spans="4:6" ht="12.75">
      <c r="D45" s="5"/>
      <c r="F45" s="5"/>
    </row>
    <row r="46" spans="2:6" ht="12.75">
      <c r="B46" t="s">
        <v>219</v>
      </c>
      <c r="D46" s="5"/>
      <c r="F46" s="5"/>
    </row>
    <row r="47" spans="4:6" ht="12.75">
      <c r="D47" s="5"/>
      <c r="F47" s="5"/>
    </row>
    <row r="48" spans="3:6" ht="12.75">
      <c r="C48" s="61" t="s">
        <v>220</v>
      </c>
      <c r="D48" s="5">
        <v>292032</v>
      </c>
      <c r="F48" s="5">
        <v>577050</v>
      </c>
    </row>
    <row r="49" spans="3:6" ht="11.25" customHeight="1">
      <c r="C49" s="61" t="s">
        <v>221</v>
      </c>
      <c r="D49" s="5">
        <v>15960</v>
      </c>
      <c r="F49" s="5">
        <v>13650</v>
      </c>
    </row>
    <row r="50" spans="4:6" ht="21.75" customHeight="1" thickBot="1">
      <c r="D50" s="11">
        <f>SUM(D42:D49)</f>
        <v>547610</v>
      </c>
      <c r="F50" s="11">
        <f>SUM(F42:F49)</f>
        <v>1238474</v>
      </c>
    </row>
    <row r="51" ht="13.5" thickTop="1"/>
    <row r="52" spans="2:6" ht="12.75">
      <c r="B52" t="s">
        <v>218</v>
      </c>
      <c r="D52" s="248">
        <f>(D42-D15)/174083</f>
        <v>-3.9367313293084334</v>
      </c>
      <c r="E52" s="248"/>
      <c r="F52" s="248">
        <f>(F42-F15)/158258</f>
        <v>-1.5514602737302379</v>
      </c>
    </row>
    <row r="55" ht="12.75">
      <c r="A55" s="62" t="s">
        <v>41</v>
      </c>
    </row>
    <row r="56" spans="1:4" ht="12.75">
      <c r="A56" s="62" t="s">
        <v>369</v>
      </c>
      <c r="D56" s="86"/>
    </row>
    <row r="58" ht="12.75">
      <c r="A58" s="62"/>
    </row>
    <row r="59" ht="12.75">
      <c r="A59" s="62"/>
    </row>
    <row r="60" ht="12.75">
      <c r="A60" s="62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>
      <selection activeCell="G1" sqref="G1"/>
    </sheetView>
  </sheetViews>
  <sheetFormatPr defaultColWidth="9.140625" defaultRowHeight="12.75"/>
  <cols>
    <col min="1" max="1" width="34.57421875" style="0" customWidth="1"/>
    <col min="2" max="2" width="10.7109375" style="0" customWidth="1"/>
    <col min="3" max="3" width="0.9921875" style="0" customWidth="1"/>
    <col min="4" max="4" width="0.2890625" style="0" customWidth="1"/>
    <col min="5" max="5" width="12.28125" style="0" customWidth="1"/>
    <col min="6" max="6" width="0.5625" style="0" customWidth="1"/>
    <col min="7" max="7" width="19.57421875" style="0" customWidth="1"/>
    <col min="8" max="8" width="4.7109375" style="0" hidden="1" customWidth="1"/>
    <col min="9" max="9" width="2.00390625" style="0" customWidth="1"/>
    <col min="10" max="10" width="10.140625" style="0" customWidth="1"/>
    <col min="11" max="11" width="0.42578125" style="0" hidden="1" customWidth="1"/>
    <col min="12" max="12" width="9.7109375" style="0" bestFit="1" customWidth="1"/>
  </cols>
  <sheetData>
    <row r="1" spans="1:7" ht="15.75">
      <c r="A1" s="169"/>
      <c r="B1" s="170"/>
      <c r="C1" s="170"/>
      <c r="D1" s="170"/>
      <c r="E1" s="171" t="s">
        <v>78</v>
      </c>
      <c r="F1" s="170"/>
      <c r="G1" s="170"/>
    </row>
    <row r="2" spans="1:7" ht="12.75">
      <c r="A2" s="157"/>
      <c r="B2" s="157"/>
      <c r="C2" s="157"/>
      <c r="D2" s="157"/>
      <c r="E2" s="166" t="s">
        <v>255</v>
      </c>
      <c r="F2" s="157"/>
      <c r="G2" s="157"/>
    </row>
    <row r="3" spans="1:7" ht="15.75">
      <c r="A3" s="82"/>
      <c r="B3" s="81"/>
      <c r="C3" s="81"/>
      <c r="D3" s="81"/>
      <c r="E3" s="81"/>
      <c r="F3" s="81"/>
      <c r="G3" s="81"/>
    </row>
    <row r="4" spans="1:7" ht="15.75">
      <c r="A4" s="82"/>
      <c r="B4" s="81"/>
      <c r="C4" s="82" t="s">
        <v>224</v>
      </c>
      <c r="D4" s="82"/>
      <c r="E4" s="81"/>
      <c r="F4" s="81"/>
      <c r="G4" s="81"/>
    </row>
    <row r="5" spans="1:7" ht="15.75">
      <c r="A5" s="82"/>
      <c r="B5" s="81"/>
      <c r="C5" s="82" t="s">
        <v>160</v>
      </c>
      <c r="D5" s="82"/>
      <c r="E5" s="81"/>
      <c r="F5" s="81"/>
      <c r="G5" s="81"/>
    </row>
    <row r="6" spans="1:9" ht="12.75">
      <c r="A6" s="83"/>
      <c r="B6" s="83"/>
      <c r="C6" s="167"/>
      <c r="D6" s="167"/>
      <c r="E6" s="159" t="s">
        <v>284</v>
      </c>
      <c r="F6" s="167"/>
      <c r="G6" s="167"/>
      <c r="H6" s="65"/>
      <c r="I6" s="65"/>
    </row>
    <row r="7" spans="1:10" ht="12.75">
      <c r="A7" s="159"/>
      <c r="B7" s="160"/>
      <c r="C7" s="160"/>
      <c r="D7" s="160"/>
      <c r="E7" s="177" t="s">
        <v>335</v>
      </c>
      <c r="F7" s="177"/>
      <c r="G7" s="176"/>
      <c r="J7" s="151" t="s">
        <v>52</v>
      </c>
    </row>
    <row r="8" spans="1:6" ht="12.75">
      <c r="A8" s="159"/>
      <c r="B8" s="160"/>
      <c r="C8" s="160"/>
      <c r="D8" s="160"/>
      <c r="E8" s="160"/>
      <c r="F8" s="160"/>
    </row>
    <row r="9" spans="1:10" ht="12.75">
      <c r="A9" s="159"/>
      <c r="B9" s="160"/>
      <c r="C9" s="160"/>
      <c r="D9" s="160"/>
      <c r="E9" s="160"/>
      <c r="F9" s="160"/>
      <c r="G9" s="160" t="s">
        <v>336</v>
      </c>
      <c r="J9" s="165"/>
    </row>
    <row r="10" spans="1:10" ht="12.75">
      <c r="A10" s="159"/>
      <c r="B10" s="160"/>
      <c r="C10" s="160"/>
      <c r="D10" s="160"/>
      <c r="E10" s="160" t="s">
        <v>339</v>
      </c>
      <c r="F10" s="160"/>
      <c r="G10" s="160" t="s">
        <v>337</v>
      </c>
      <c r="J10" s="160" t="s">
        <v>222</v>
      </c>
    </row>
    <row r="11" spans="1:12" ht="12.75">
      <c r="A11" s="159"/>
      <c r="B11" s="160" t="s">
        <v>194</v>
      </c>
      <c r="C11" s="160"/>
      <c r="D11" s="160"/>
      <c r="E11" s="160" t="s">
        <v>340</v>
      </c>
      <c r="F11" s="160"/>
      <c r="G11" s="160" t="s">
        <v>338</v>
      </c>
      <c r="J11" s="160" t="s">
        <v>223</v>
      </c>
      <c r="L11" s="160" t="s">
        <v>254</v>
      </c>
    </row>
    <row r="12" spans="2:12" ht="12.75">
      <c r="B12" s="81" t="s">
        <v>190</v>
      </c>
      <c r="E12" s="81" t="s">
        <v>190</v>
      </c>
      <c r="G12" s="81" t="s">
        <v>190</v>
      </c>
      <c r="J12" s="81" t="s">
        <v>190</v>
      </c>
      <c r="L12" s="81" t="s">
        <v>190</v>
      </c>
    </row>
    <row r="13" spans="1:12" ht="12.75">
      <c r="A13" s="65" t="s">
        <v>164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4" spans="1:12" ht="12.75">
      <c r="A14" s="190" t="s">
        <v>165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</row>
    <row r="15" spans="2:12" ht="12.75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</row>
    <row r="16" spans="1:12" ht="12.75">
      <c r="A16" t="s">
        <v>43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spans="1:12" ht="12.75">
      <c r="A17" t="s">
        <v>32</v>
      </c>
      <c r="B17" s="158">
        <v>158258</v>
      </c>
      <c r="C17" s="158"/>
      <c r="D17" s="158"/>
      <c r="E17" s="158">
        <v>2108</v>
      </c>
      <c r="F17" s="158"/>
      <c r="G17" s="158">
        <f>8948</f>
        <v>8948</v>
      </c>
      <c r="H17" s="158"/>
      <c r="I17" s="158"/>
      <c r="J17" s="158">
        <v>299156</v>
      </c>
      <c r="K17" s="158"/>
      <c r="L17" s="158">
        <f>SUM(B17:J17)</f>
        <v>468470</v>
      </c>
    </row>
    <row r="18" spans="2:12" ht="12.75"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</row>
    <row r="19" ht="12.75">
      <c r="A19" t="s">
        <v>370</v>
      </c>
    </row>
    <row r="20" spans="1:12" ht="12.75">
      <c r="A20" t="s">
        <v>371</v>
      </c>
      <c r="B20" s="158">
        <v>15825</v>
      </c>
      <c r="C20" s="158"/>
      <c r="D20" s="158"/>
      <c r="E20" s="198">
        <v>69630</v>
      </c>
      <c r="F20" s="158"/>
      <c r="G20" s="158"/>
      <c r="H20" s="158"/>
      <c r="I20" s="158"/>
      <c r="J20" s="158"/>
      <c r="K20" s="158"/>
      <c r="L20" s="158">
        <f>SUM(B20:J20)</f>
        <v>85455</v>
      </c>
    </row>
    <row r="21" spans="2:12" ht="12.75"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</row>
    <row r="22" spans="1:12" ht="12.75">
      <c r="A22" t="s">
        <v>389</v>
      </c>
      <c r="B22" s="158"/>
      <c r="C22" s="158"/>
      <c r="D22" s="158"/>
      <c r="E22" s="158"/>
      <c r="F22" s="158"/>
      <c r="G22" s="158"/>
      <c r="H22" s="158"/>
      <c r="I22" s="158"/>
      <c r="J22" s="241">
        <v>-391597</v>
      </c>
      <c r="K22" s="240"/>
      <c r="L22" s="241">
        <f>SUM(B22:J22)</f>
        <v>-391597</v>
      </c>
    </row>
    <row r="23" spans="1:12" ht="12.75">
      <c r="A23" s="134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12.75">
      <c r="A24" t="s">
        <v>69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</row>
    <row r="25" spans="1:12" ht="12.75">
      <c r="A25" t="s">
        <v>55</v>
      </c>
      <c r="B25" s="158"/>
      <c r="C25" s="158"/>
      <c r="D25" s="158"/>
      <c r="E25" s="158"/>
      <c r="F25" s="158"/>
      <c r="G25" s="158"/>
      <c r="H25" s="158"/>
      <c r="I25" s="158"/>
      <c r="J25" s="241">
        <v>-5013</v>
      </c>
      <c r="K25" s="158"/>
      <c r="L25" s="241">
        <f>SUM(B25:J25)</f>
        <v>-5013</v>
      </c>
    </row>
    <row r="26" ht="12.75">
      <c r="L26" s="158"/>
    </row>
    <row r="27" spans="1:12" ht="12.75">
      <c r="A27" t="s">
        <v>372</v>
      </c>
      <c r="E27" s="198">
        <v>-1495</v>
      </c>
      <c r="L27" s="198">
        <f>SUM(B27:J27)</f>
        <v>-1495</v>
      </c>
    </row>
    <row r="28" spans="5:12" ht="12.75">
      <c r="E28" s="198"/>
      <c r="L28" s="198"/>
    </row>
    <row r="29" spans="1:12" ht="12.75">
      <c r="A29" t="s">
        <v>95</v>
      </c>
      <c r="B29" s="158"/>
      <c r="E29" s="198"/>
      <c r="L29" s="198"/>
    </row>
    <row r="30" spans="1:12" ht="12.75">
      <c r="A30" t="s">
        <v>387</v>
      </c>
      <c r="B30" s="158"/>
      <c r="E30" s="198"/>
      <c r="L30" s="198"/>
    </row>
    <row r="31" spans="1:12" ht="12.75">
      <c r="A31" t="s">
        <v>388</v>
      </c>
      <c r="B31" s="158"/>
      <c r="E31" s="198"/>
      <c r="L31" s="198"/>
    </row>
    <row r="32" spans="1:12" ht="12.75">
      <c r="A32" t="s">
        <v>240</v>
      </c>
      <c r="B32" s="158"/>
      <c r="E32" s="198"/>
      <c r="G32" s="86">
        <v>-8033</v>
      </c>
      <c r="L32" s="198">
        <f>SUM(B32:J32)</f>
        <v>-8033</v>
      </c>
    </row>
    <row r="33" spans="5:12" ht="12.75">
      <c r="E33" s="198"/>
      <c r="G33" s="86"/>
      <c r="L33" s="198"/>
    </row>
    <row r="34" spans="1:12" ht="12.75">
      <c r="A34" t="s">
        <v>237</v>
      </c>
      <c r="E34" s="198"/>
      <c r="G34" s="86"/>
      <c r="L34" s="198"/>
    </row>
    <row r="35" spans="1:12" ht="12.75">
      <c r="A35" t="s">
        <v>240</v>
      </c>
      <c r="E35" s="198"/>
      <c r="G35" s="86">
        <v>-6328</v>
      </c>
      <c r="L35" s="198">
        <f>SUM(B35:J35)</f>
        <v>-6328</v>
      </c>
    </row>
    <row r="36" spans="5:12" ht="12.75">
      <c r="E36" s="198"/>
      <c r="G36" s="86"/>
      <c r="L36" s="198"/>
    </row>
    <row r="37" spans="1:12" ht="12.75">
      <c r="A37" s="134" t="s">
        <v>410</v>
      </c>
      <c r="E37" s="198"/>
      <c r="G37" s="86"/>
      <c r="L37" s="198"/>
    </row>
    <row r="38" spans="1:12" ht="12.75">
      <c r="A38" t="s">
        <v>238</v>
      </c>
      <c r="E38" s="198"/>
      <c r="G38" s="86"/>
      <c r="L38" s="198"/>
    </row>
    <row r="39" spans="1:12" ht="12.75">
      <c r="A39" t="s">
        <v>239</v>
      </c>
      <c r="E39" s="198"/>
      <c r="G39" s="86">
        <v>-3014</v>
      </c>
      <c r="L39" s="198">
        <f>SUM(B39:J39)</f>
        <v>-3014</v>
      </c>
    </row>
    <row r="40" spans="2:12" ht="12.75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</row>
    <row r="41" spans="1:12" ht="13.5" thickBot="1">
      <c r="A41" t="s">
        <v>163</v>
      </c>
      <c r="B41" s="168">
        <f>SUM(B16:B36)</f>
        <v>174083</v>
      </c>
      <c r="C41" s="168"/>
      <c r="D41" s="168"/>
      <c r="E41" s="168">
        <f>SUM(E16:E36)</f>
        <v>70243</v>
      </c>
      <c r="F41" s="158"/>
      <c r="G41" s="245">
        <f>SUM(G16:G40)</f>
        <v>-8427</v>
      </c>
      <c r="H41" s="158"/>
      <c r="I41" s="168"/>
      <c r="J41" s="245">
        <f>SUM(J16:J36)</f>
        <v>-97454</v>
      </c>
      <c r="K41" s="158"/>
      <c r="L41" s="168">
        <f>SUM(L16:L40)</f>
        <v>138445</v>
      </c>
    </row>
    <row r="42" spans="1:12" ht="13.5" thickTop="1">
      <c r="A42" s="146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</row>
    <row r="43" spans="1:12" ht="12.75">
      <c r="A43" s="65" t="s">
        <v>164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</row>
    <row r="44" spans="1:12" ht="12.75">
      <c r="A44" s="190" t="s">
        <v>162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</row>
    <row r="45" spans="2:12" ht="12.75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</row>
    <row r="46" spans="1:12" ht="12.75">
      <c r="A46" t="s">
        <v>43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</row>
    <row r="47" spans="1:12" ht="12.75">
      <c r="A47" t="s">
        <v>33</v>
      </c>
      <c r="B47" s="158">
        <v>79129</v>
      </c>
      <c r="C47" s="158"/>
      <c r="D47" s="158"/>
      <c r="E47" s="158">
        <v>81309</v>
      </c>
      <c r="F47" s="158"/>
      <c r="G47" s="158">
        <v>5156</v>
      </c>
      <c r="H47" s="158"/>
      <c r="I47" s="158"/>
      <c r="J47" s="158">
        <v>211915</v>
      </c>
      <c r="K47" s="158"/>
      <c r="L47" s="158">
        <f>SUM(B47:J47)</f>
        <v>377509</v>
      </c>
    </row>
    <row r="48" spans="2:12" ht="12.75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</row>
    <row r="49" spans="1:12" ht="12.75">
      <c r="A49" t="s">
        <v>285</v>
      </c>
      <c r="B49" s="158">
        <v>79129</v>
      </c>
      <c r="C49" s="158"/>
      <c r="D49" s="158"/>
      <c r="E49" s="86">
        <v>-79129</v>
      </c>
      <c r="F49" s="158"/>
      <c r="G49" s="158"/>
      <c r="H49" s="158"/>
      <c r="I49" s="158"/>
      <c r="J49" s="158"/>
      <c r="K49" s="158"/>
      <c r="L49" s="158"/>
    </row>
    <row r="50" spans="2:12" ht="12.75">
      <c r="B50" s="158"/>
      <c r="C50" s="158"/>
      <c r="D50" s="158"/>
      <c r="E50" s="86"/>
      <c r="F50" s="158"/>
      <c r="G50" s="158"/>
      <c r="H50" s="158"/>
      <c r="I50" s="158"/>
      <c r="J50" s="158"/>
      <c r="K50" s="158"/>
      <c r="L50" s="158"/>
    </row>
    <row r="51" spans="1:12" ht="12.75">
      <c r="A51" t="s">
        <v>386</v>
      </c>
      <c r="B51" s="158"/>
      <c r="C51" s="158"/>
      <c r="D51" s="158"/>
      <c r="E51" s="158"/>
      <c r="F51" s="158"/>
      <c r="G51" s="158"/>
      <c r="H51" s="158"/>
      <c r="I51" s="158"/>
      <c r="J51" s="158">
        <v>91799</v>
      </c>
      <c r="K51" s="158"/>
      <c r="L51" s="158">
        <f>SUM(B51:J51)</f>
        <v>91799</v>
      </c>
    </row>
    <row r="52" spans="1:15" ht="12.75">
      <c r="A52" s="134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O52" s="236"/>
    </row>
    <row r="53" spans="1:15" ht="12.75">
      <c r="A53" t="s">
        <v>69</v>
      </c>
      <c r="B53" s="158"/>
      <c r="C53" s="158"/>
      <c r="D53" s="158"/>
      <c r="E53" s="86"/>
      <c r="F53" s="158"/>
      <c r="G53" s="158"/>
      <c r="H53" s="158"/>
      <c r="I53" s="158"/>
      <c r="J53" s="264"/>
      <c r="K53" s="265"/>
      <c r="L53" s="264"/>
      <c r="O53" s="236"/>
    </row>
    <row r="54" spans="1:15" ht="12.75">
      <c r="A54" t="s">
        <v>70</v>
      </c>
      <c r="B54" s="158"/>
      <c r="C54" s="158"/>
      <c r="D54" s="158"/>
      <c r="E54" s="86"/>
      <c r="F54" s="158"/>
      <c r="G54" s="158"/>
      <c r="H54" s="158"/>
      <c r="I54" s="158"/>
      <c r="J54" s="264">
        <v>-4558</v>
      </c>
      <c r="K54" s="265"/>
      <c r="L54" s="264">
        <f>SUM(B54:J54)</f>
        <v>-4558</v>
      </c>
      <c r="O54" s="236"/>
    </row>
    <row r="55" spans="2:12" ht="12.75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</row>
    <row r="56" spans="1:12" ht="12.75">
      <c r="A56" t="s">
        <v>233</v>
      </c>
      <c r="B56" s="158"/>
      <c r="C56" s="158"/>
      <c r="D56" s="158"/>
      <c r="E56" s="86">
        <v>-72</v>
      </c>
      <c r="F56" s="158"/>
      <c r="G56" s="158"/>
      <c r="H56" s="158"/>
      <c r="I56" s="158"/>
      <c r="J56" s="158"/>
      <c r="K56" s="158"/>
      <c r="L56" s="86">
        <f>SUM(E56:K56)</f>
        <v>-72</v>
      </c>
    </row>
    <row r="57" spans="2:12" ht="12.75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</row>
    <row r="58" spans="1:12" ht="12.75">
      <c r="A58" t="s">
        <v>96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</row>
    <row r="59" spans="1:12" ht="12.75">
      <c r="A59" t="s">
        <v>387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</row>
    <row r="60" spans="1:12" ht="12.75">
      <c r="A60" t="s">
        <v>388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</row>
    <row r="61" spans="1:12" ht="12.75">
      <c r="A61" t="s">
        <v>240</v>
      </c>
      <c r="B61" s="158"/>
      <c r="C61" s="158"/>
      <c r="D61" s="158"/>
      <c r="E61" s="158"/>
      <c r="F61" s="158"/>
      <c r="G61" s="86">
        <v>-4422</v>
      </c>
      <c r="H61" s="158"/>
      <c r="I61" s="158"/>
      <c r="J61" s="158"/>
      <c r="K61" s="158"/>
      <c r="L61" s="86">
        <f>SUM(B61:G61)</f>
        <v>-4422</v>
      </c>
    </row>
    <row r="62" spans="2:12" ht="12.75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</row>
    <row r="63" spans="1:12" ht="12.75">
      <c r="A63" s="134" t="s">
        <v>236</v>
      </c>
      <c r="G63" s="133">
        <v>8033</v>
      </c>
      <c r="L63">
        <f>SUM(B63:J63)</f>
        <v>8033</v>
      </c>
    </row>
    <row r="64" spans="1:7" ht="12.75">
      <c r="A64" s="134"/>
      <c r="G64" s="133"/>
    </row>
    <row r="65" spans="1:12" ht="12.75">
      <c r="A65" s="134" t="s">
        <v>99</v>
      </c>
      <c r="B65" s="158"/>
      <c r="C65" s="158"/>
      <c r="D65" s="158"/>
      <c r="E65" s="158"/>
      <c r="F65" s="158"/>
      <c r="G65" s="86">
        <v>181</v>
      </c>
      <c r="H65" s="158"/>
      <c r="I65" s="158"/>
      <c r="J65" s="158"/>
      <c r="K65" s="158"/>
      <c r="L65" s="86">
        <f>SUM(B65:J65)</f>
        <v>181</v>
      </c>
    </row>
    <row r="66" spans="2:12" ht="12.75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</row>
    <row r="67" spans="1:12" ht="13.5" thickBot="1">
      <c r="A67" t="s">
        <v>161</v>
      </c>
      <c r="B67" s="168">
        <f>SUM(B46:B66)</f>
        <v>158258</v>
      </c>
      <c r="C67" s="168"/>
      <c r="D67" s="168"/>
      <c r="E67" s="168">
        <f>SUM(E46:E66)</f>
        <v>2108</v>
      </c>
      <c r="F67" s="158"/>
      <c r="G67" s="168">
        <f>SUM(G46:G66)</f>
        <v>8948</v>
      </c>
      <c r="H67" s="158"/>
      <c r="I67" s="168"/>
      <c r="J67" s="168">
        <f>SUM(J46:J66)</f>
        <v>299156</v>
      </c>
      <c r="K67" s="158"/>
      <c r="L67" s="168">
        <f>SUM(L46:L66)</f>
        <v>468470</v>
      </c>
    </row>
    <row r="68" spans="1:12" ht="13.5" thickTop="1">
      <c r="A68" s="146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</row>
    <row r="69" spans="2:12" ht="12.75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</row>
    <row r="70" ht="12.75">
      <c r="A70" s="62" t="s">
        <v>93</v>
      </c>
    </row>
    <row r="71" spans="1:5" ht="12.75">
      <c r="A71" s="62" t="s">
        <v>92</v>
      </c>
      <c r="E71" s="86"/>
    </row>
  </sheetData>
  <printOptions/>
  <pageMargins left="0.75" right="0.75" top="0.51" bottom="0.48" header="0.5" footer="0.5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E18" sqref="E18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2" t="s">
        <v>226</v>
      </c>
    </row>
    <row r="2" ht="12.75">
      <c r="A2" s="65" t="s">
        <v>34</v>
      </c>
    </row>
    <row r="3" ht="12.75">
      <c r="A3" s="65"/>
    </row>
    <row r="4" spans="1:5" ht="12.75">
      <c r="A4" s="62" t="s">
        <v>112</v>
      </c>
      <c r="B4" s="62"/>
      <c r="C4" s="62"/>
      <c r="D4" s="62"/>
      <c r="E4" s="62"/>
    </row>
    <row r="5" spans="1:5" ht="12.75">
      <c r="A5" s="62" t="s">
        <v>113</v>
      </c>
      <c r="B5" s="62"/>
      <c r="C5" s="62"/>
      <c r="D5" s="62"/>
      <c r="E5" s="62"/>
    </row>
    <row r="6" spans="1:5" ht="12.75">
      <c r="A6" s="62" t="s">
        <v>284</v>
      </c>
      <c r="B6" s="62"/>
      <c r="C6" s="62"/>
      <c r="D6" s="62"/>
      <c r="E6" s="62"/>
    </row>
    <row r="7" spans="7:10" ht="12.75">
      <c r="G7" s="250">
        <v>2002</v>
      </c>
      <c r="H7" s="83"/>
      <c r="I7" s="83"/>
      <c r="J7" s="83"/>
    </row>
    <row r="8" spans="7:9" ht="12.75">
      <c r="G8" s="154" t="s">
        <v>114</v>
      </c>
      <c r="H8" s="251" t="s">
        <v>115</v>
      </c>
      <c r="I8" s="251" t="s">
        <v>115</v>
      </c>
    </row>
    <row r="9" spans="7:9" ht="12.75">
      <c r="G9" s="154" t="s">
        <v>116</v>
      </c>
      <c r="H9" s="251" t="s">
        <v>116</v>
      </c>
      <c r="I9" s="251" t="s">
        <v>116</v>
      </c>
    </row>
    <row r="10" spans="7:9" ht="12.75">
      <c r="G10" s="252">
        <v>37529</v>
      </c>
      <c r="H10" s="253" t="s">
        <v>154</v>
      </c>
      <c r="I10" s="253" t="s">
        <v>117</v>
      </c>
    </row>
    <row r="11" spans="7:9" ht="12.75">
      <c r="G11" s="154" t="s">
        <v>118</v>
      </c>
      <c r="H11" s="251" t="s">
        <v>190</v>
      </c>
      <c r="I11" s="251" t="s">
        <v>190</v>
      </c>
    </row>
    <row r="12" spans="8:9" ht="12.75">
      <c r="H12" s="158"/>
      <c r="I12" s="158"/>
    </row>
    <row r="13" spans="1:9" ht="12.75">
      <c r="A13" t="s">
        <v>119</v>
      </c>
      <c r="G13" s="12">
        <v>18157476.800000004</v>
      </c>
      <c r="H13" s="86">
        <v>-488134</v>
      </c>
      <c r="I13" s="86">
        <v>90710</v>
      </c>
    </row>
    <row r="14" spans="1:9" ht="12.75">
      <c r="A14" t="s">
        <v>120</v>
      </c>
      <c r="H14" s="86"/>
      <c r="I14" s="86"/>
    </row>
    <row r="15" spans="8:9" ht="12.75">
      <c r="H15" s="86"/>
      <c r="I15" s="86"/>
    </row>
    <row r="16" spans="1:9" ht="12.75">
      <c r="A16" t="s">
        <v>121</v>
      </c>
      <c r="G16" s="12">
        <v>3519102.199038375</v>
      </c>
      <c r="H16" s="86">
        <v>65520</v>
      </c>
      <c r="I16" s="86">
        <v>13119</v>
      </c>
    </row>
    <row r="17" spans="1:9" ht="12.75">
      <c r="A17" t="s">
        <v>122</v>
      </c>
      <c r="G17" s="12">
        <v>12426134.481680587</v>
      </c>
      <c r="H17" s="86">
        <v>50282</v>
      </c>
      <c r="I17" s="86">
        <f>49067</f>
        <v>49067</v>
      </c>
    </row>
    <row r="18" spans="8:9" ht="12.75">
      <c r="H18" s="86"/>
      <c r="I18" s="86"/>
    </row>
    <row r="19" spans="1:9" ht="12.75">
      <c r="A19" t="s">
        <v>123</v>
      </c>
      <c r="G19" s="156">
        <v>34102713.48071897</v>
      </c>
      <c r="H19" s="199">
        <f>SUM(H13:H17)</f>
        <v>-372332</v>
      </c>
      <c r="I19" s="199">
        <f>SUM(I13:I17)</f>
        <v>152896</v>
      </c>
    </row>
    <row r="20" spans="8:9" ht="12.75">
      <c r="H20" s="86"/>
      <c r="I20" s="86"/>
    </row>
    <row r="21" spans="1:9" ht="12.75">
      <c r="A21" t="s">
        <v>124</v>
      </c>
      <c r="H21" s="86"/>
      <c r="I21" s="86"/>
    </row>
    <row r="22" spans="1:9" ht="12.75">
      <c r="A22" t="s">
        <v>125</v>
      </c>
      <c r="G22" s="12">
        <v>-337693309.9468568</v>
      </c>
      <c r="H22" s="86">
        <v>-117763</v>
      </c>
      <c r="I22" s="86">
        <v>103545</v>
      </c>
    </row>
    <row r="23" spans="1:9" ht="12.75">
      <c r="A23" t="s">
        <v>126</v>
      </c>
      <c r="G23" s="12">
        <v>13448199.433237415</v>
      </c>
      <c r="H23" s="86">
        <v>159947</v>
      </c>
      <c r="I23" s="86">
        <v>-303560</v>
      </c>
    </row>
    <row r="24" spans="7:9" ht="12.75">
      <c r="G24" s="12"/>
      <c r="H24" s="86"/>
      <c r="I24" s="86"/>
    </row>
    <row r="25" spans="1:9" ht="13.5" thickBot="1">
      <c r="A25" t="s">
        <v>127</v>
      </c>
      <c r="G25" s="254">
        <v>-290142397.0329004</v>
      </c>
      <c r="H25" s="200">
        <f>SUM(H19:H23)</f>
        <v>-330148</v>
      </c>
      <c r="I25" s="200">
        <f>SUM(I19:I23)</f>
        <v>-47119</v>
      </c>
    </row>
    <row r="26" spans="8:9" ht="13.5" thickTop="1">
      <c r="H26" s="86"/>
      <c r="I26" s="86"/>
    </row>
    <row r="27" spans="1:9" ht="12.75">
      <c r="A27" t="s">
        <v>128</v>
      </c>
      <c r="H27" s="86"/>
      <c r="I27" s="86"/>
    </row>
    <row r="28" spans="1:9" ht="12.75">
      <c r="A28" t="s">
        <v>129</v>
      </c>
      <c r="B28" s="134"/>
      <c r="G28" s="12"/>
      <c r="H28" s="86">
        <v>5583</v>
      </c>
      <c r="I28" s="255">
        <v>10209</v>
      </c>
    </row>
    <row r="29" spans="1:9" ht="12.75">
      <c r="A29" t="s">
        <v>130</v>
      </c>
      <c r="B29" s="134"/>
      <c r="G29" s="12"/>
      <c r="H29" s="86">
        <v>-7794</v>
      </c>
      <c r="I29" s="86">
        <v>-105806</v>
      </c>
    </row>
    <row r="30" spans="1:9" ht="12.75">
      <c r="A30" t="s">
        <v>131</v>
      </c>
      <c r="B30" s="134"/>
      <c r="G30" s="12"/>
      <c r="H30" s="86">
        <v>898</v>
      </c>
      <c r="I30" s="255">
        <v>433</v>
      </c>
    </row>
    <row r="31" spans="1:9" ht="12.75">
      <c r="A31" t="s">
        <v>132</v>
      </c>
      <c r="B31" s="134"/>
      <c r="G31" s="12"/>
      <c r="H31" s="86">
        <v>2781</v>
      </c>
      <c r="I31" s="255">
        <v>22420</v>
      </c>
    </row>
    <row r="32" spans="1:9" ht="12.75">
      <c r="A32" t="s">
        <v>133</v>
      </c>
      <c r="B32" s="134"/>
      <c r="G32" s="12"/>
      <c r="I32" s="255"/>
    </row>
    <row r="33" spans="1:9" ht="12.75">
      <c r="A33" t="s">
        <v>134</v>
      </c>
      <c r="B33" s="134"/>
      <c r="G33" s="12"/>
      <c r="H33" s="86">
        <v>-506</v>
      </c>
      <c r="I33" s="255">
        <v>1</v>
      </c>
    </row>
    <row r="34" spans="1:9" ht="12.75">
      <c r="A34" t="s">
        <v>135</v>
      </c>
      <c r="B34" s="134"/>
      <c r="G34" s="12"/>
      <c r="H34" s="86">
        <v>31899</v>
      </c>
      <c r="I34" s="86">
        <v>112489</v>
      </c>
    </row>
    <row r="35" spans="2:9" ht="12.75">
      <c r="B35" s="134"/>
      <c r="G35" s="12"/>
      <c r="H35" s="86"/>
      <c r="I35" s="86"/>
    </row>
    <row r="36" spans="1:9" ht="12.75">
      <c r="A36" t="s">
        <v>136</v>
      </c>
      <c r="B36" s="134"/>
      <c r="G36" s="131" t="e">
        <v>#REF!</v>
      </c>
      <c r="H36" s="200">
        <f>SUM(H28:H34)</f>
        <v>32861</v>
      </c>
      <c r="I36" s="200">
        <f>SUM(I28:I34)</f>
        <v>39746</v>
      </c>
    </row>
    <row r="37" spans="8:9" ht="12.75">
      <c r="H37" s="86"/>
      <c r="I37" s="86"/>
    </row>
    <row r="38" spans="1:9" ht="12.75">
      <c r="A38" t="s">
        <v>137</v>
      </c>
      <c r="H38" s="86"/>
      <c r="I38" s="86"/>
    </row>
    <row r="39" spans="1:9" ht="12.75">
      <c r="A39" t="s">
        <v>138</v>
      </c>
      <c r="H39" s="86">
        <v>0</v>
      </c>
      <c r="I39" s="86">
        <v>-2916</v>
      </c>
    </row>
    <row r="40" spans="1:9" ht="12.75">
      <c r="A40" t="s">
        <v>139</v>
      </c>
      <c r="H40" s="86">
        <f>-5014</f>
        <v>-5014</v>
      </c>
      <c r="I40" s="86">
        <v>-4558</v>
      </c>
    </row>
    <row r="41" spans="1:9" ht="12.75">
      <c r="A41" t="s">
        <v>140</v>
      </c>
      <c r="B41" s="134"/>
      <c r="G41" s="12" t="e">
        <v>#REF!</v>
      </c>
      <c r="H41" s="86">
        <v>49210</v>
      </c>
      <c r="I41" s="86">
        <v>182668</v>
      </c>
    </row>
    <row r="42" spans="1:9" ht="12.75">
      <c r="A42" t="s">
        <v>141</v>
      </c>
      <c r="B42" s="134"/>
      <c r="G42" s="12"/>
      <c r="H42" s="86">
        <v>0</v>
      </c>
      <c r="I42" s="86">
        <v>-72</v>
      </c>
    </row>
    <row r="43" spans="1:9" ht="12.75">
      <c r="A43" t="s">
        <v>142</v>
      </c>
      <c r="B43" s="134"/>
      <c r="G43" s="12"/>
      <c r="H43" s="86">
        <v>-1495</v>
      </c>
      <c r="I43" s="86">
        <v>0</v>
      </c>
    </row>
    <row r="44" spans="1:9" ht="12.75">
      <c r="A44" t="s">
        <v>143</v>
      </c>
      <c r="B44" s="134"/>
      <c r="G44" s="12"/>
      <c r="H44" s="86">
        <v>85455</v>
      </c>
      <c r="I44" s="86">
        <v>0</v>
      </c>
    </row>
    <row r="45" spans="2:9" ht="12.75">
      <c r="B45" s="134"/>
      <c r="G45" s="12"/>
      <c r="H45" s="86"/>
      <c r="I45" s="86"/>
    </row>
    <row r="46" spans="1:9" ht="12.75">
      <c r="A46" t="s">
        <v>144</v>
      </c>
      <c r="B46" s="134"/>
      <c r="G46" s="131" t="e">
        <v>#REF!</v>
      </c>
      <c r="H46" s="200">
        <f>SUM(H40:H44)</f>
        <v>128156</v>
      </c>
      <c r="I46" s="200">
        <f>SUM(I39:I45)</f>
        <v>175122</v>
      </c>
    </row>
    <row r="47" spans="8:9" ht="12.75">
      <c r="H47" s="86"/>
      <c r="I47" s="86"/>
    </row>
    <row r="48" spans="1:9" ht="12.75">
      <c r="A48" t="s">
        <v>145</v>
      </c>
      <c r="G48" s="12" t="e">
        <v>#REF!</v>
      </c>
      <c r="H48" s="86">
        <f>H25+H36+H46</f>
        <v>-169131</v>
      </c>
      <c r="I48" s="86">
        <f>I25+I36+I46</f>
        <v>167749</v>
      </c>
    </row>
    <row r="49" spans="8:9" ht="12.75">
      <c r="H49" s="86"/>
      <c r="I49" s="86"/>
    </row>
    <row r="50" spans="8:9" ht="12.75">
      <c r="H50" s="86"/>
      <c r="I50" s="86"/>
    </row>
    <row r="51" spans="1:9" ht="12.75">
      <c r="A51" t="s">
        <v>146</v>
      </c>
      <c r="G51" s="12">
        <v>151537773</v>
      </c>
      <c r="H51" s="86">
        <v>151537</v>
      </c>
      <c r="I51" s="86">
        <v>-15594</v>
      </c>
    </row>
    <row r="52" spans="7:9" ht="12.75">
      <c r="G52" s="12"/>
      <c r="H52" s="86"/>
      <c r="I52" s="86"/>
    </row>
    <row r="53" spans="1:9" ht="12.75">
      <c r="A53" t="s">
        <v>147</v>
      </c>
      <c r="G53" s="12">
        <v>-13185.989010987047</v>
      </c>
      <c r="H53" s="86">
        <v>0</v>
      </c>
      <c r="I53" s="86">
        <v>-618</v>
      </c>
    </row>
    <row r="54" spans="7:9" ht="12.75">
      <c r="G54" s="132"/>
      <c r="H54" s="51"/>
      <c r="I54" s="51"/>
    </row>
    <row r="55" spans="1:9" ht="13.5" thickBot="1">
      <c r="A55" t="s">
        <v>148</v>
      </c>
      <c r="G55" s="254" t="e">
        <v>#REF!</v>
      </c>
      <c r="H55" s="245">
        <f>SUM(H48:H53)</f>
        <v>-17594</v>
      </c>
      <c r="I55" s="245">
        <f>SUM(I48:I53)</f>
        <v>151537</v>
      </c>
    </row>
    <row r="56" ht="13.5" thickTop="1"/>
    <row r="58" ht="12.75">
      <c r="A58" t="s">
        <v>149</v>
      </c>
    </row>
    <row r="59" ht="12.75">
      <c r="A59" t="s">
        <v>150</v>
      </c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1"/>
  <sheetViews>
    <sheetView view="pageBreakPreview" zoomScaleNormal="125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28.8515625" style="0" customWidth="1"/>
    <col min="4" max="4" width="15.00390625" style="0" customWidth="1"/>
    <col min="5" max="5" width="17.00390625" style="0" customWidth="1"/>
    <col min="6" max="6" width="15.421875" style="0" customWidth="1"/>
    <col min="7" max="7" width="3.421875" style="0" customWidth="1"/>
  </cols>
  <sheetData>
    <row r="1" ht="3.75" customHeight="1">
      <c r="A1" t="s">
        <v>76</v>
      </c>
    </row>
    <row r="2" spans="1:6" ht="27" customHeight="1">
      <c r="A2" s="293" t="s">
        <v>78</v>
      </c>
      <c r="B2" s="294"/>
      <c r="C2" s="294"/>
      <c r="D2" s="294"/>
      <c r="E2" s="294"/>
      <c r="F2" s="295"/>
    </row>
    <row r="3" spans="1:6" ht="18">
      <c r="A3" s="296" t="s">
        <v>255</v>
      </c>
      <c r="B3" s="297"/>
      <c r="C3" s="297"/>
      <c r="D3" s="297"/>
      <c r="E3" s="297"/>
      <c r="F3" s="272"/>
    </row>
    <row r="4" spans="1:6" ht="12.75">
      <c r="A4" s="284"/>
      <c r="B4" s="284"/>
      <c r="C4" s="284"/>
      <c r="D4" s="284"/>
      <c r="E4" s="284"/>
      <c r="F4" s="284"/>
    </row>
    <row r="5" spans="1:6" s="50" customFormat="1" ht="16.5">
      <c r="A5" s="273" t="s">
        <v>256</v>
      </c>
      <c r="B5" s="273"/>
      <c r="C5" s="273"/>
      <c r="D5" s="273"/>
      <c r="E5" s="273"/>
      <c r="F5" s="273"/>
    </row>
    <row r="6" spans="1:6" s="50" customFormat="1" ht="16.5">
      <c r="A6" s="290" t="s">
        <v>156</v>
      </c>
      <c r="B6" s="290"/>
      <c r="C6" s="290"/>
      <c r="D6" s="290"/>
      <c r="E6" s="290"/>
      <c r="F6" s="290"/>
    </row>
    <row r="7" spans="1:6" s="50" customFormat="1" ht="12.75">
      <c r="A7" s="159"/>
      <c r="B7" s="159"/>
      <c r="C7" s="159"/>
      <c r="D7" s="159"/>
      <c r="E7" s="159"/>
      <c r="F7" s="159"/>
    </row>
    <row r="8" spans="1:6" s="50" customFormat="1" ht="12.75">
      <c r="A8" s="159"/>
      <c r="B8" s="140" t="s">
        <v>438</v>
      </c>
      <c r="C8" s="174"/>
      <c r="D8" s="174"/>
      <c r="E8" s="174"/>
      <c r="F8" s="159"/>
    </row>
    <row r="9" spans="1:6" s="50" customFormat="1" ht="15" customHeight="1">
      <c r="A9" s="291"/>
      <c r="B9" s="284"/>
      <c r="C9" s="284"/>
      <c r="D9" s="284"/>
      <c r="E9" s="284"/>
      <c r="F9" s="284"/>
    </row>
    <row r="10" spans="1:6" s="65" customFormat="1" ht="15" customHeight="1">
      <c r="A10" s="67">
        <v>1</v>
      </c>
      <c r="B10" s="62" t="s">
        <v>257</v>
      </c>
      <c r="C10" s="62"/>
      <c r="D10" s="62"/>
      <c r="E10" s="203"/>
      <c r="F10" s="203"/>
    </row>
    <row r="11" spans="1:6" s="65" customFormat="1" ht="15" customHeight="1">
      <c r="A11" s="66"/>
      <c r="E11" s="203"/>
      <c r="F11" s="203"/>
    </row>
    <row r="12" spans="1:6" s="65" customFormat="1" ht="15" customHeight="1">
      <c r="A12" s="66"/>
      <c r="B12" s="65" t="s">
        <v>230</v>
      </c>
      <c r="E12" s="203"/>
      <c r="F12" s="203"/>
    </row>
    <row r="13" spans="1:6" s="65" customFormat="1" ht="15" customHeight="1">
      <c r="A13" s="66"/>
      <c r="B13" s="65" t="s">
        <v>373</v>
      </c>
      <c r="E13" s="203"/>
      <c r="F13" s="203"/>
    </row>
    <row r="14" spans="1:6" s="65" customFormat="1" ht="15" customHeight="1">
      <c r="A14" s="66"/>
      <c r="B14" s="65" t="s">
        <v>374</v>
      </c>
      <c r="E14" s="203"/>
      <c r="F14" s="203"/>
    </row>
    <row r="15" spans="1:6" s="65" customFormat="1" ht="15" customHeight="1">
      <c r="A15" s="66"/>
      <c r="B15" s="65" t="s">
        <v>375</v>
      </c>
      <c r="E15" s="203"/>
      <c r="F15" s="203"/>
    </row>
    <row r="16" spans="1:6" s="65" customFormat="1" ht="15" customHeight="1">
      <c r="A16" s="66"/>
      <c r="B16" s="65" t="s">
        <v>97</v>
      </c>
      <c r="E16" s="203"/>
      <c r="F16" s="203"/>
    </row>
    <row r="17" spans="1:6" s="65" customFormat="1" ht="15" customHeight="1">
      <c r="A17" s="67"/>
      <c r="B17" s="62"/>
      <c r="C17" s="62"/>
      <c r="D17" s="62"/>
      <c r="E17" s="203"/>
      <c r="F17" s="203"/>
    </row>
    <row r="18" spans="1:6" s="65" customFormat="1" ht="15" customHeight="1">
      <c r="A18" s="67"/>
      <c r="B18" s="65" t="s">
        <v>376</v>
      </c>
      <c r="C18" s="62"/>
      <c r="D18" s="62"/>
      <c r="E18" s="203"/>
      <c r="F18" s="203"/>
    </row>
    <row r="19" spans="1:6" s="65" customFormat="1" ht="15" customHeight="1">
      <c r="A19" s="67"/>
      <c r="B19" s="62"/>
      <c r="C19" s="62"/>
      <c r="D19" s="62"/>
      <c r="E19" s="203"/>
      <c r="F19" s="203"/>
    </row>
    <row r="20" spans="1:6" s="65" customFormat="1" ht="15" customHeight="1">
      <c r="A20" s="67">
        <v>2</v>
      </c>
      <c r="B20" s="62" t="s">
        <v>332</v>
      </c>
      <c r="C20" s="62"/>
      <c r="D20" s="62"/>
      <c r="E20" s="203"/>
      <c r="F20" s="203"/>
    </row>
    <row r="21" spans="1:6" s="65" customFormat="1" ht="15" customHeight="1">
      <c r="A21" s="67"/>
      <c r="B21" s="62"/>
      <c r="C21" s="62"/>
      <c r="D21" s="62"/>
      <c r="E21" s="203"/>
      <c r="F21" s="203"/>
    </row>
    <row r="22" spans="1:6" s="65" customFormat="1" ht="15" customHeight="1">
      <c r="A22" s="67"/>
      <c r="B22" s="65" t="s">
        <v>44</v>
      </c>
      <c r="C22" s="62"/>
      <c r="D22" s="62"/>
      <c r="E22" s="203"/>
      <c r="F22" s="203"/>
    </row>
    <row r="23" spans="1:6" s="65" customFormat="1" ht="15" customHeight="1">
      <c r="A23" s="67"/>
      <c r="B23" s="65" t="s">
        <v>235</v>
      </c>
      <c r="C23" s="62"/>
      <c r="D23" s="62"/>
      <c r="E23" s="203"/>
      <c r="F23" s="203"/>
    </row>
    <row r="24" spans="1:6" s="65" customFormat="1" ht="15" customHeight="1">
      <c r="A24" s="67"/>
      <c r="B24" s="62"/>
      <c r="C24" s="62"/>
      <c r="D24" s="62"/>
      <c r="E24" s="203"/>
      <c r="F24" s="203"/>
    </row>
    <row r="25" spans="1:6" s="65" customFormat="1" ht="15" customHeight="1">
      <c r="A25" s="67">
        <v>3</v>
      </c>
      <c r="B25" s="143" t="s">
        <v>59</v>
      </c>
      <c r="C25" s="62"/>
      <c r="D25" s="62"/>
      <c r="E25" s="203"/>
      <c r="F25" s="203"/>
    </row>
    <row r="26" spans="1:6" s="65" customFormat="1" ht="15" customHeight="1">
      <c r="A26" s="67"/>
      <c r="B26" s="130"/>
      <c r="C26" s="62"/>
      <c r="D26" s="62"/>
      <c r="E26" s="203"/>
      <c r="F26" s="203"/>
    </row>
    <row r="27" spans="1:6" s="65" customFormat="1" ht="15" customHeight="1">
      <c r="A27" s="67"/>
      <c r="B27" s="144" t="s">
        <v>157</v>
      </c>
      <c r="C27" s="62"/>
      <c r="D27" s="62"/>
      <c r="E27" s="203"/>
      <c r="F27" s="203"/>
    </row>
    <row r="28" spans="1:6" s="65" customFormat="1" ht="15" customHeight="1">
      <c r="A28" s="67"/>
      <c r="B28" s="144" t="s">
        <v>35</v>
      </c>
      <c r="C28" s="62"/>
      <c r="D28" s="62"/>
      <c r="E28" s="203"/>
      <c r="F28" s="203"/>
    </row>
    <row r="29" spans="1:6" s="65" customFormat="1" ht="15" customHeight="1">
      <c r="A29" s="67"/>
      <c r="B29" s="62"/>
      <c r="C29" s="62"/>
      <c r="D29" s="62"/>
      <c r="E29" s="203"/>
      <c r="F29" s="203"/>
    </row>
    <row r="30" spans="1:6" s="65" customFormat="1" ht="15" customHeight="1">
      <c r="A30" s="67">
        <v>4</v>
      </c>
      <c r="B30" s="62" t="s">
        <v>231</v>
      </c>
      <c r="C30" s="62"/>
      <c r="D30" s="62"/>
      <c r="E30" s="203"/>
      <c r="F30" s="203"/>
    </row>
    <row r="31" spans="1:6" s="65" customFormat="1" ht="15" customHeight="1">
      <c r="A31" s="67"/>
      <c r="B31" s="62"/>
      <c r="C31" s="62"/>
      <c r="D31" s="62"/>
      <c r="E31" s="203"/>
      <c r="F31" s="203"/>
    </row>
    <row r="32" spans="1:6" s="65" customFormat="1" ht="15" customHeight="1">
      <c r="A32" s="67"/>
      <c r="B32" s="65" t="s">
        <v>98</v>
      </c>
      <c r="C32" s="62"/>
      <c r="D32" s="62"/>
      <c r="E32" s="203"/>
      <c r="F32" s="203"/>
    </row>
    <row r="33" spans="1:6" s="65" customFormat="1" ht="15" customHeight="1">
      <c r="A33" s="67"/>
      <c r="B33" s="65" t="s">
        <v>101</v>
      </c>
      <c r="C33" s="62"/>
      <c r="D33" s="62"/>
      <c r="E33" s="203"/>
      <c r="F33" s="203"/>
    </row>
    <row r="34" spans="1:6" s="65" customFormat="1" ht="15" customHeight="1">
      <c r="A34" s="67"/>
      <c r="B34" s="65" t="s">
        <v>397</v>
      </c>
      <c r="C34" s="62"/>
      <c r="D34" s="62"/>
      <c r="E34" s="203"/>
      <c r="F34" s="203"/>
    </row>
    <row r="35" spans="1:6" s="65" customFormat="1" ht="15" customHeight="1">
      <c r="A35" s="67"/>
      <c r="B35" s="65" t="s">
        <v>102</v>
      </c>
      <c r="C35" s="62"/>
      <c r="D35" s="62"/>
      <c r="E35" s="203"/>
      <c r="F35" s="203"/>
    </row>
    <row r="36" spans="1:6" s="65" customFormat="1" ht="15" customHeight="1">
      <c r="A36" s="67"/>
      <c r="C36" s="62"/>
      <c r="D36" s="62"/>
      <c r="E36" s="203"/>
      <c r="F36" s="203"/>
    </row>
    <row r="37" spans="1:6" s="65" customFormat="1" ht="15" customHeight="1">
      <c r="A37" s="67"/>
      <c r="B37" s="65" t="s">
        <v>47</v>
      </c>
      <c r="E37" s="203"/>
      <c r="F37" s="203"/>
    </row>
    <row r="38" spans="1:6" s="65" customFormat="1" ht="15" customHeight="1">
      <c r="A38" s="67"/>
      <c r="B38" s="65" t="s">
        <v>100</v>
      </c>
      <c r="E38" s="203"/>
      <c r="F38" s="203"/>
    </row>
    <row r="39" spans="1:6" s="65" customFormat="1" ht="15" customHeight="1">
      <c r="A39" s="67"/>
      <c r="B39" s="65" t="s">
        <v>155</v>
      </c>
      <c r="E39" s="203"/>
      <c r="F39" s="203"/>
    </row>
    <row r="40" spans="1:6" s="65" customFormat="1" ht="15" customHeight="1">
      <c r="A40" s="67"/>
      <c r="B40" s="62"/>
      <c r="C40" s="62"/>
      <c r="D40" s="62"/>
      <c r="E40" s="203"/>
      <c r="F40" s="203"/>
    </row>
    <row r="41" spans="1:6" s="65" customFormat="1" ht="15" customHeight="1">
      <c r="A41" s="67">
        <v>5</v>
      </c>
      <c r="B41" s="62" t="s">
        <v>232</v>
      </c>
      <c r="C41" s="62"/>
      <c r="D41" s="62"/>
      <c r="E41" s="203"/>
      <c r="F41" s="203"/>
    </row>
    <row r="42" spans="1:6" s="65" customFormat="1" ht="15" customHeight="1">
      <c r="A42" s="67"/>
      <c r="B42" s="62"/>
      <c r="C42" s="62"/>
      <c r="D42" s="62"/>
      <c r="E42" s="203"/>
      <c r="F42" s="203"/>
    </row>
    <row r="43" spans="1:6" s="65" customFormat="1" ht="15" customHeight="1">
      <c r="A43" s="67"/>
      <c r="B43" s="65" t="s">
        <v>214</v>
      </c>
      <c r="C43" s="172"/>
      <c r="D43" s="172"/>
      <c r="E43" s="201"/>
      <c r="F43" s="201"/>
    </row>
    <row r="44" spans="1:6" s="65" customFormat="1" ht="15" customHeight="1">
      <c r="A44" s="67"/>
      <c r="B44" s="65" t="s">
        <v>241</v>
      </c>
      <c r="C44" s="172"/>
      <c r="D44" s="172"/>
      <c r="E44" s="201"/>
      <c r="F44" s="201"/>
    </row>
    <row r="45" spans="1:6" s="65" customFormat="1" ht="15" customHeight="1">
      <c r="A45" s="67"/>
      <c r="B45" s="62"/>
      <c r="C45" s="62"/>
      <c r="D45" s="62"/>
      <c r="E45" s="203"/>
      <c r="F45" s="203"/>
    </row>
    <row r="46" spans="1:6" s="65" customFormat="1" ht="15" customHeight="1">
      <c r="A46" s="67">
        <v>6</v>
      </c>
      <c r="B46" s="62" t="s">
        <v>262</v>
      </c>
      <c r="C46" s="62"/>
      <c r="D46" s="62"/>
      <c r="E46" s="203"/>
      <c r="F46" s="203"/>
    </row>
    <row r="47" spans="1:6" s="65" customFormat="1" ht="15" customHeight="1">
      <c r="A47" s="67"/>
      <c r="C47" s="62"/>
      <c r="D47" s="62"/>
      <c r="E47" s="203"/>
      <c r="F47" s="203"/>
    </row>
    <row r="48" spans="1:6" s="65" customFormat="1" ht="15" customHeight="1">
      <c r="A48" s="67"/>
      <c r="B48" s="65" t="s">
        <v>66</v>
      </c>
      <c r="C48" s="62"/>
      <c r="D48" s="62"/>
      <c r="E48" s="203"/>
      <c r="F48" s="203"/>
    </row>
    <row r="49" spans="1:6" s="65" customFormat="1" ht="15" customHeight="1">
      <c r="A49" s="67"/>
      <c r="B49" s="65" t="s">
        <v>290</v>
      </c>
      <c r="C49" s="62"/>
      <c r="D49" s="62"/>
      <c r="E49" s="203"/>
      <c r="F49" s="203"/>
    </row>
    <row r="50" spans="1:6" s="65" customFormat="1" ht="15" customHeight="1">
      <c r="A50" s="67"/>
      <c r="B50" s="65" t="s">
        <v>242</v>
      </c>
      <c r="C50" s="62"/>
      <c r="D50" s="62"/>
      <c r="E50" s="203"/>
      <c r="F50" s="203"/>
    </row>
    <row r="51" spans="1:6" s="65" customFormat="1" ht="12.75">
      <c r="A51" s="67"/>
      <c r="C51" s="62"/>
      <c r="D51" s="62"/>
      <c r="E51" s="203"/>
      <c r="F51" s="203"/>
    </row>
    <row r="52" spans="1:6" s="65" customFormat="1" ht="13.5" customHeight="1">
      <c r="A52" s="67">
        <v>7</v>
      </c>
      <c r="B52" s="62" t="s">
        <v>182</v>
      </c>
      <c r="C52" s="62"/>
      <c r="D52" s="62"/>
      <c r="E52" s="203"/>
      <c r="F52" s="203"/>
    </row>
    <row r="53" spans="1:6" s="65" customFormat="1" ht="13.5" customHeight="1">
      <c r="A53" s="67"/>
      <c r="B53" s="62"/>
      <c r="C53" s="62"/>
      <c r="D53" s="62"/>
      <c r="E53" s="203"/>
      <c r="F53" s="203"/>
    </row>
    <row r="54" spans="1:6" s="65" customFormat="1" ht="13.5" customHeight="1">
      <c r="A54" s="67"/>
      <c r="B54" t="s">
        <v>243</v>
      </c>
      <c r="C54" s="62"/>
      <c r="D54" s="62"/>
      <c r="E54" s="203"/>
      <c r="F54" s="203"/>
    </row>
    <row r="55" spans="1:6" s="65" customFormat="1" ht="13.5" customHeight="1">
      <c r="A55" s="67"/>
      <c r="B55"/>
      <c r="C55" s="62"/>
      <c r="D55" s="62"/>
      <c r="E55" s="203"/>
      <c r="F55" s="203"/>
    </row>
    <row r="56" spans="1:6" s="65" customFormat="1" ht="13.5" customHeight="1">
      <c r="A56" s="66"/>
      <c r="B56"/>
      <c r="E56" s="203"/>
      <c r="F56" s="203"/>
    </row>
    <row r="57" spans="1:6" s="65" customFormat="1" ht="18.75" customHeight="1">
      <c r="A57" s="67"/>
      <c r="B57" s="62"/>
      <c r="C57" s="62"/>
      <c r="D57" s="62"/>
      <c r="E57" s="203"/>
      <c r="F57" s="203"/>
    </row>
    <row r="58" spans="1:6" s="65" customFormat="1" ht="19.5" customHeight="1">
      <c r="A58" s="67">
        <v>8</v>
      </c>
      <c r="B58" s="62" t="s">
        <v>276</v>
      </c>
      <c r="C58" s="62"/>
      <c r="D58" s="62"/>
      <c r="E58" s="203"/>
      <c r="F58" s="203"/>
    </row>
    <row r="59" spans="1:6" s="65" customFormat="1" ht="19.5" customHeight="1">
      <c r="A59" s="67"/>
      <c r="B59" s="62"/>
      <c r="C59" s="62"/>
      <c r="D59" s="62"/>
      <c r="E59" s="203"/>
      <c r="F59" s="203"/>
    </row>
    <row r="60" spans="1:6" s="65" customFormat="1" ht="21" customHeight="1">
      <c r="A60" s="67"/>
      <c r="B60" s="62" t="s">
        <v>297</v>
      </c>
      <c r="C60" s="62"/>
      <c r="D60"/>
      <c r="E60"/>
      <c r="F60"/>
    </row>
    <row r="61" spans="1:6" s="65" customFormat="1" ht="21" customHeight="1">
      <c r="A61" s="67"/>
      <c r="B61" s="52"/>
      <c r="C61" s="223"/>
      <c r="D61" s="224"/>
      <c r="E61" s="225" t="s">
        <v>167</v>
      </c>
      <c r="F61" s="75" t="s">
        <v>48</v>
      </c>
    </row>
    <row r="62" spans="1:6" s="65" customFormat="1" ht="21" customHeight="1">
      <c r="A62" s="67"/>
      <c r="B62" s="55"/>
      <c r="C62" s="14"/>
      <c r="D62" s="226"/>
      <c r="E62" s="140"/>
      <c r="F62" s="79" t="s">
        <v>49</v>
      </c>
    </row>
    <row r="63" spans="1:6" s="65" customFormat="1" ht="21" customHeight="1">
      <c r="A63" s="67"/>
      <c r="B63" s="55"/>
      <c r="C63" s="14"/>
      <c r="D63" s="226"/>
      <c r="E63" s="140"/>
      <c r="F63" s="79" t="s">
        <v>153</v>
      </c>
    </row>
    <row r="64" spans="1:6" s="65" customFormat="1" ht="21" customHeight="1">
      <c r="A64" s="67"/>
      <c r="B64" s="53"/>
      <c r="C64" s="14"/>
      <c r="D64" s="226"/>
      <c r="E64" s="227" t="s">
        <v>264</v>
      </c>
      <c r="F64" s="78" t="s">
        <v>264</v>
      </c>
    </row>
    <row r="65" spans="1:6" s="65" customFormat="1" ht="21" customHeight="1">
      <c r="A65" s="67"/>
      <c r="B65" s="76" t="s">
        <v>252</v>
      </c>
      <c r="C65" s="228"/>
      <c r="D65" s="224"/>
      <c r="E65" s="204">
        <v>11084</v>
      </c>
      <c r="F65" s="204">
        <v>468</v>
      </c>
    </row>
    <row r="66" spans="1:6" s="65" customFormat="1" ht="21" customHeight="1">
      <c r="A66" s="67"/>
      <c r="B66" s="76" t="s">
        <v>253</v>
      </c>
      <c r="C66" s="77"/>
      <c r="D66" s="226"/>
      <c r="E66" s="204">
        <v>35654</v>
      </c>
      <c r="F66" s="204">
        <v>4018</v>
      </c>
    </row>
    <row r="67" spans="1:6" s="65" customFormat="1" ht="21" customHeight="1">
      <c r="A67" s="67"/>
      <c r="B67" s="76" t="s">
        <v>251</v>
      </c>
      <c r="C67" s="77"/>
      <c r="D67" s="226"/>
      <c r="E67" s="204">
        <v>5310</v>
      </c>
      <c r="F67" s="204">
        <v>3652</v>
      </c>
    </row>
    <row r="68" spans="1:6" s="65" customFormat="1" ht="21" customHeight="1">
      <c r="A68" s="67"/>
      <c r="B68" s="76" t="s">
        <v>56</v>
      </c>
      <c r="C68" s="77"/>
      <c r="D68" s="226"/>
      <c r="E68" s="204">
        <v>494931</v>
      </c>
      <c r="F68" s="204">
        <v>-35182</v>
      </c>
    </row>
    <row r="69" spans="1:6" s="65" customFormat="1" ht="21" customHeight="1">
      <c r="A69" s="67"/>
      <c r="B69" s="229" t="s">
        <v>51</v>
      </c>
      <c r="C69" s="77"/>
      <c r="D69" s="226"/>
      <c r="E69" s="204">
        <v>9585</v>
      </c>
      <c r="F69" s="205">
        <v>8969</v>
      </c>
    </row>
    <row r="70" spans="1:6" s="65" customFormat="1" ht="21" customHeight="1">
      <c r="A70" s="67"/>
      <c r="B70" s="68"/>
      <c r="C70" s="228"/>
      <c r="D70" s="224"/>
      <c r="E70" s="206">
        <f>SUM(E65:E69)</f>
        <v>556564</v>
      </c>
      <c r="F70" s="206">
        <f>SUM(F65:F69)</f>
        <v>-18075</v>
      </c>
    </row>
    <row r="71" spans="1:6" s="65" customFormat="1" ht="21" customHeight="1">
      <c r="A71" s="67"/>
      <c r="B71" s="70" t="s">
        <v>50</v>
      </c>
      <c r="C71" s="196"/>
      <c r="D71" s="226"/>
      <c r="E71" s="207">
        <v>-32581</v>
      </c>
      <c r="F71" s="209">
        <v>-9486</v>
      </c>
    </row>
    <row r="72" spans="1:6" s="65" customFormat="1" ht="21" customHeight="1">
      <c r="A72" s="67"/>
      <c r="B72" s="70"/>
      <c r="C72" s="196"/>
      <c r="D72" s="71"/>
      <c r="E72" s="238"/>
      <c r="F72" s="239">
        <f>F70+F71</f>
        <v>-27561</v>
      </c>
    </row>
    <row r="73" spans="1:6" s="65" customFormat="1" ht="21" customHeight="1">
      <c r="A73" s="67"/>
      <c r="B73" s="70" t="s">
        <v>64</v>
      </c>
      <c r="C73" s="196"/>
      <c r="D73" s="226"/>
      <c r="E73" s="207">
        <v>0</v>
      </c>
      <c r="F73" s="207">
        <v>-4299</v>
      </c>
    </row>
    <row r="74" spans="1:6" s="65" customFormat="1" ht="21" customHeight="1">
      <c r="A74" s="67"/>
      <c r="B74" s="70"/>
      <c r="C74" s="196"/>
      <c r="D74" s="226"/>
      <c r="E74" s="207"/>
      <c r="F74" s="206">
        <f>F72+F73</f>
        <v>-31860</v>
      </c>
    </row>
    <row r="75" spans="1:6" s="65" customFormat="1" ht="21" customHeight="1">
      <c r="A75" s="67"/>
      <c r="B75" s="70" t="s">
        <v>367</v>
      </c>
      <c r="C75" s="196"/>
      <c r="D75" s="226"/>
      <c r="E75" s="207">
        <v>0</v>
      </c>
      <c r="F75" s="207">
        <v>5584</v>
      </c>
    </row>
    <row r="76" spans="1:6" s="65" customFormat="1" ht="21" customHeight="1">
      <c r="A76" s="67"/>
      <c r="B76" s="70" t="s">
        <v>65</v>
      </c>
      <c r="C76" s="196"/>
      <c r="D76" s="226"/>
      <c r="E76" s="207">
        <v>0</v>
      </c>
      <c r="F76" s="207">
        <v>-55865</v>
      </c>
    </row>
    <row r="77" spans="1:6" s="65" customFormat="1" ht="21" customHeight="1">
      <c r="A77" s="67"/>
      <c r="B77" s="70" t="s">
        <v>323</v>
      </c>
      <c r="C77" s="196"/>
      <c r="D77" s="226"/>
      <c r="E77" s="207">
        <v>0</v>
      </c>
      <c r="F77" s="207">
        <v>28814</v>
      </c>
    </row>
    <row r="78" spans="1:6" s="65" customFormat="1" ht="21" customHeight="1">
      <c r="A78" s="67"/>
      <c r="B78" s="70" t="s">
        <v>77</v>
      </c>
      <c r="C78" s="196"/>
      <c r="D78" s="226"/>
      <c r="E78" s="207">
        <v>0</v>
      </c>
      <c r="F78" s="207">
        <v>-67095</v>
      </c>
    </row>
    <row r="79" spans="1:6" s="65" customFormat="1" ht="21" customHeight="1">
      <c r="A79" s="67"/>
      <c r="B79" s="70" t="s">
        <v>378</v>
      </c>
      <c r="C79" s="196"/>
      <c r="D79" s="226"/>
      <c r="E79" s="207">
        <v>0</v>
      </c>
      <c r="F79" s="207">
        <v>-17905</v>
      </c>
    </row>
    <row r="80" spans="1:6" s="65" customFormat="1" ht="21" customHeight="1">
      <c r="A80" s="67"/>
      <c r="B80" s="148" t="s">
        <v>108</v>
      </c>
      <c r="C80" s="196"/>
      <c r="D80" s="226"/>
      <c r="E80" s="207"/>
      <c r="F80" s="207"/>
    </row>
    <row r="81" spans="1:6" s="65" customFormat="1" ht="21" customHeight="1">
      <c r="A81" s="67"/>
      <c r="B81" s="70" t="s">
        <v>450</v>
      </c>
      <c r="C81" s="196"/>
      <c r="D81" s="226"/>
      <c r="E81" s="207">
        <v>0</v>
      </c>
      <c r="F81" s="207">
        <v>-349807</v>
      </c>
    </row>
    <row r="82" spans="1:6" s="65" customFormat="1" ht="21" customHeight="1" thickBot="1">
      <c r="A82" s="67"/>
      <c r="B82" s="197"/>
      <c r="C82" s="195"/>
      <c r="D82" s="230"/>
      <c r="E82" s="208">
        <f>+E70+E71</f>
        <v>523983</v>
      </c>
      <c r="F82" s="208">
        <f>F74+F75+F76+F77+F78+F79+F80+F81</f>
        <v>-488134</v>
      </c>
    </row>
    <row r="83" spans="1:6" s="65" customFormat="1" ht="18.75" customHeight="1" thickTop="1">
      <c r="A83" s="67"/>
      <c r="B83" s="196"/>
      <c r="C83" s="196"/>
      <c r="D83" s="210"/>
      <c r="E83" s="210"/>
      <c r="F83"/>
    </row>
    <row r="84" spans="1:6" s="65" customFormat="1" ht="21" customHeight="1">
      <c r="A84" s="67"/>
      <c r="B84" s="62" t="s">
        <v>298</v>
      </c>
      <c r="C84" s="196"/>
      <c r="D84" s="210"/>
      <c r="E84" s="210"/>
      <c r="F84"/>
    </row>
    <row r="85" spans="1:6" s="65" customFormat="1" ht="21" customHeight="1">
      <c r="A85" s="67"/>
      <c r="B85" s="52"/>
      <c r="C85" s="223"/>
      <c r="D85" s="224"/>
      <c r="E85" s="225" t="s">
        <v>167</v>
      </c>
      <c r="F85" s="75" t="s">
        <v>48</v>
      </c>
    </row>
    <row r="86" spans="1:6" s="65" customFormat="1" ht="21" customHeight="1">
      <c r="A86" s="67"/>
      <c r="B86" s="55"/>
      <c r="C86" s="14"/>
      <c r="D86" s="226"/>
      <c r="E86" s="140"/>
      <c r="F86" s="79" t="s">
        <v>49</v>
      </c>
    </row>
    <row r="87" spans="1:6" s="65" customFormat="1" ht="21" customHeight="1">
      <c r="A87" s="67"/>
      <c r="B87" s="55"/>
      <c r="C87" s="14"/>
      <c r="D87" s="226"/>
      <c r="E87" s="140"/>
      <c r="F87" s="79" t="s">
        <v>153</v>
      </c>
    </row>
    <row r="88" spans="1:6" s="65" customFormat="1" ht="21" customHeight="1">
      <c r="A88" s="67"/>
      <c r="B88" s="55"/>
      <c r="C88" s="14"/>
      <c r="D88" s="226"/>
      <c r="E88" s="227" t="s">
        <v>264</v>
      </c>
      <c r="F88" s="78" t="s">
        <v>264</v>
      </c>
    </row>
    <row r="89" spans="1:6" s="65" customFormat="1" ht="21" customHeight="1">
      <c r="A89" s="67"/>
      <c r="B89" s="152" t="s">
        <v>299</v>
      </c>
      <c r="C89" s="228"/>
      <c r="D89" s="224"/>
      <c r="E89" s="202">
        <v>514700</v>
      </c>
      <c r="F89" s="202">
        <v>-475939</v>
      </c>
    </row>
    <row r="90" spans="1:6" s="65" customFormat="1" ht="21" customHeight="1">
      <c r="A90" s="67"/>
      <c r="B90" s="76" t="s">
        <v>300</v>
      </c>
      <c r="C90" s="77"/>
      <c r="D90" s="226"/>
      <c r="E90" s="204">
        <v>359</v>
      </c>
      <c r="F90" s="204">
        <v>-13753</v>
      </c>
    </row>
    <row r="91" spans="1:6" s="65" customFormat="1" ht="21" customHeight="1">
      <c r="A91" s="67"/>
      <c r="B91" s="76" t="s">
        <v>301</v>
      </c>
      <c r="C91" s="77"/>
      <c r="D91" s="226"/>
      <c r="E91" s="204">
        <v>8924</v>
      </c>
      <c r="F91" s="204">
        <v>1558</v>
      </c>
    </row>
    <row r="92" spans="1:6" s="65" customFormat="1" ht="21" customHeight="1">
      <c r="A92" s="67"/>
      <c r="B92" s="80" t="s">
        <v>87</v>
      </c>
      <c r="C92" s="231"/>
      <c r="D92" s="232"/>
      <c r="E92" s="233">
        <f>SUM(E87:E91)</f>
        <v>523983</v>
      </c>
      <c r="F92" s="211">
        <f>SUM(F87:F91)</f>
        <v>-488134</v>
      </c>
    </row>
    <row r="93" spans="1:6" s="65" customFormat="1" ht="16.5" customHeight="1">
      <c r="A93" s="130"/>
      <c r="B93" s="130"/>
      <c r="C93" s="130"/>
      <c r="D93" s="130"/>
      <c r="E93" s="130"/>
      <c r="F93" s="130"/>
    </row>
    <row r="94" spans="1:6" s="65" customFormat="1" ht="15" customHeight="1">
      <c r="A94" s="130"/>
      <c r="B94" s="130"/>
      <c r="C94" s="130"/>
      <c r="D94" s="130"/>
      <c r="E94" s="130"/>
      <c r="F94" s="130"/>
    </row>
    <row r="95" spans="1:6" s="65" customFormat="1" ht="18" customHeight="1">
      <c r="A95" s="67"/>
      <c r="B95" s="62"/>
      <c r="C95" s="62"/>
      <c r="D95" s="62"/>
      <c r="E95" s="203"/>
      <c r="F95" s="203"/>
    </row>
    <row r="96" spans="1:6" s="65" customFormat="1" ht="18" customHeight="1">
      <c r="A96" s="67"/>
      <c r="B96" s="62"/>
      <c r="C96" s="62"/>
      <c r="D96" s="62"/>
      <c r="E96" s="203"/>
      <c r="F96" s="203"/>
    </row>
    <row r="97" spans="1:6" s="65" customFormat="1" ht="18" customHeight="1">
      <c r="A97" s="67">
        <v>9</v>
      </c>
      <c r="B97" s="62" t="s">
        <v>183</v>
      </c>
      <c r="C97" s="62"/>
      <c r="D97" s="62"/>
      <c r="E97" s="203"/>
      <c r="F97" s="203"/>
    </row>
    <row r="98" spans="1:6" s="65" customFormat="1" ht="18" customHeight="1">
      <c r="A98" s="67"/>
      <c r="B98" s="62"/>
      <c r="C98" s="62"/>
      <c r="D98" s="62"/>
      <c r="E98" s="203"/>
      <c r="F98" s="203"/>
    </row>
    <row r="99" spans="1:6" s="65" customFormat="1" ht="18" customHeight="1">
      <c r="A99" s="67"/>
      <c r="B99" s="65" t="s">
        <v>333</v>
      </c>
      <c r="C99" s="62"/>
      <c r="D99" s="62"/>
      <c r="E99" s="203"/>
      <c r="F99" s="203"/>
    </row>
    <row r="100" spans="1:6" s="65" customFormat="1" ht="18" customHeight="1">
      <c r="A100" s="67"/>
      <c r="B100" s="65" t="s">
        <v>377</v>
      </c>
      <c r="C100" s="62"/>
      <c r="D100" s="62"/>
      <c r="E100" s="203"/>
      <c r="F100" s="203"/>
    </row>
    <row r="101" spans="1:6" s="65" customFormat="1" ht="18" customHeight="1">
      <c r="A101" s="67"/>
      <c r="C101" s="62"/>
      <c r="D101" s="62"/>
      <c r="E101" s="203"/>
      <c r="F101" s="203"/>
    </row>
    <row r="102" spans="1:6" s="65" customFormat="1" ht="18" customHeight="1">
      <c r="A102" s="67">
        <v>10</v>
      </c>
      <c r="B102" s="143" t="s">
        <v>58</v>
      </c>
      <c r="C102" s="62"/>
      <c r="D102" s="62"/>
      <c r="E102" s="203"/>
      <c r="F102" s="203"/>
    </row>
    <row r="103" spans="1:6" s="65" customFormat="1" ht="18" customHeight="1">
      <c r="A103" s="67"/>
      <c r="B103" s="143"/>
      <c r="C103" s="62"/>
      <c r="D103" s="62"/>
      <c r="E103" s="203"/>
      <c r="F103" s="203"/>
    </row>
    <row r="104" spans="1:6" s="65" customFormat="1" ht="18" customHeight="1">
      <c r="A104" s="67"/>
      <c r="B104" s="65" t="s">
        <v>103</v>
      </c>
      <c r="C104" s="62"/>
      <c r="D104" s="62"/>
      <c r="E104" s="203"/>
      <c r="F104" s="203"/>
    </row>
    <row r="105" spans="1:6" s="65" customFormat="1" ht="18" customHeight="1">
      <c r="A105" s="67"/>
      <c r="B105" s="66" t="s">
        <v>247</v>
      </c>
      <c r="C105" s="62"/>
      <c r="D105" s="62"/>
      <c r="E105" s="203"/>
      <c r="F105" s="203"/>
    </row>
    <row r="106" spans="1:6" s="65" customFormat="1" ht="18" customHeight="1">
      <c r="A106" s="67"/>
      <c r="B106" s="66"/>
      <c r="C106" s="62"/>
      <c r="D106" s="62"/>
      <c r="E106" s="203"/>
      <c r="F106" s="203"/>
    </row>
    <row r="107" spans="1:6" s="65" customFormat="1" ht="18" customHeight="1">
      <c r="A107" s="67">
        <v>11</v>
      </c>
      <c r="B107" s="62" t="s">
        <v>260</v>
      </c>
      <c r="C107" s="62"/>
      <c r="D107" s="62"/>
      <c r="E107" s="203"/>
      <c r="F107" s="203"/>
    </row>
    <row r="108" spans="1:6" s="65" customFormat="1" ht="18" customHeight="1">
      <c r="A108" s="67"/>
      <c r="B108" s="237"/>
      <c r="C108" s="62"/>
      <c r="D108" s="62"/>
      <c r="E108" s="203"/>
      <c r="F108" s="203"/>
    </row>
    <row r="109" spans="1:6" s="65" customFormat="1" ht="18" customHeight="1">
      <c r="A109" s="67"/>
      <c r="B109" s="65" t="s">
        <v>109</v>
      </c>
      <c r="C109" s="62"/>
      <c r="D109" s="62"/>
      <c r="E109" s="203"/>
      <c r="F109" s="203"/>
    </row>
    <row r="110" spans="1:6" s="65" customFormat="1" ht="18" customHeight="1">
      <c r="A110" s="67"/>
      <c r="B110" s="144" t="s">
        <v>111</v>
      </c>
      <c r="C110" s="62"/>
      <c r="D110" s="62"/>
      <c r="E110" s="203"/>
      <c r="F110" s="203"/>
    </row>
    <row r="111" spans="1:6" s="65" customFormat="1" ht="18" customHeight="1">
      <c r="A111" s="67"/>
      <c r="B111" s="144" t="s">
        <v>110</v>
      </c>
      <c r="C111" s="62"/>
      <c r="D111" s="62"/>
      <c r="E111" s="203"/>
      <c r="F111" s="203"/>
    </row>
    <row r="112" spans="1:6" s="65" customFormat="1" ht="18" customHeight="1">
      <c r="A112" s="67"/>
      <c r="B112" s="246" t="s">
        <v>244</v>
      </c>
      <c r="C112" s="62"/>
      <c r="D112" s="62"/>
      <c r="E112" s="203"/>
      <c r="F112" s="203"/>
    </row>
    <row r="113" spans="1:6" s="65" customFormat="1" ht="18" customHeight="1">
      <c r="A113" s="67"/>
      <c r="B113" s="62"/>
      <c r="C113" s="62"/>
      <c r="D113" s="62"/>
      <c r="E113" s="203"/>
      <c r="F113" s="203"/>
    </row>
    <row r="114" spans="1:6" s="65" customFormat="1" ht="18" customHeight="1">
      <c r="A114" s="67">
        <v>12</v>
      </c>
      <c r="B114" s="62" t="s">
        <v>184</v>
      </c>
      <c r="C114" s="62"/>
      <c r="D114" s="62"/>
      <c r="E114" s="203"/>
      <c r="F114" s="203"/>
    </row>
    <row r="115" spans="1:6" s="65" customFormat="1" ht="18" customHeight="1">
      <c r="A115" s="67"/>
      <c r="C115" s="62"/>
      <c r="D115" s="62"/>
      <c r="E115" s="203"/>
      <c r="F115" s="203"/>
    </row>
    <row r="116" spans="1:6" s="65" customFormat="1" ht="18" customHeight="1">
      <c r="A116" s="67"/>
      <c r="B116" s="65" t="s">
        <v>287</v>
      </c>
      <c r="C116" s="62"/>
      <c r="D116" s="62"/>
      <c r="E116" s="203"/>
      <c r="F116" s="203"/>
    </row>
    <row r="117" spans="1:6" s="65" customFormat="1" ht="18" customHeight="1">
      <c r="A117" s="67"/>
      <c r="B117" s="62"/>
      <c r="C117" s="62"/>
      <c r="D117" s="62"/>
      <c r="E117" s="203"/>
      <c r="F117" s="203"/>
    </row>
    <row r="118" spans="1:6" s="65" customFormat="1" ht="18" customHeight="1">
      <c r="A118" s="62" t="s">
        <v>390</v>
      </c>
      <c r="C118" s="62"/>
      <c r="D118" s="62"/>
      <c r="E118" s="203"/>
      <c r="F118" s="203"/>
    </row>
    <row r="119" spans="1:6" s="65" customFormat="1" ht="18" customHeight="1">
      <c r="A119" s="62" t="s">
        <v>391</v>
      </c>
      <c r="C119" s="62"/>
      <c r="D119" s="62"/>
      <c r="E119" s="203"/>
      <c r="F119" s="203"/>
    </row>
    <row r="120" spans="1:6" s="65" customFormat="1" ht="18" customHeight="1">
      <c r="A120" s="67"/>
      <c r="B120" s="62"/>
      <c r="C120" s="62"/>
      <c r="D120" s="62"/>
      <c r="E120" s="203"/>
      <c r="F120" s="203"/>
    </row>
    <row r="121" spans="1:6" s="65" customFormat="1" ht="18" customHeight="1">
      <c r="A121" s="67">
        <v>13</v>
      </c>
      <c r="B121" s="62" t="s">
        <v>277</v>
      </c>
      <c r="C121" s="62"/>
      <c r="D121" s="62"/>
      <c r="E121" s="203"/>
      <c r="F121" s="203"/>
    </row>
    <row r="122" spans="1:6" s="65" customFormat="1" ht="18" customHeight="1">
      <c r="A122" s="67"/>
      <c r="B122"/>
      <c r="C122" s="62"/>
      <c r="D122" s="62"/>
      <c r="E122" s="203"/>
      <c r="F122" s="203"/>
    </row>
    <row r="123" spans="1:6" s="65" customFormat="1" ht="18" customHeight="1">
      <c r="A123" s="67"/>
      <c r="B123" t="s">
        <v>440</v>
      </c>
      <c r="C123" s="62"/>
      <c r="D123" s="62"/>
      <c r="E123" s="203"/>
      <c r="F123" s="203"/>
    </row>
    <row r="124" spans="1:6" s="65" customFormat="1" ht="18" customHeight="1">
      <c r="A124" s="67"/>
      <c r="B124" t="s">
        <v>441</v>
      </c>
      <c r="C124" s="62"/>
      <c r="D124" s="62"/>
      <c r="E124" s="203"/>
      <c r="F124" s="203"/>
    </row>
    <row r="125" spans="1:6" s="65" customFormat="1" ht="18" customHeight="1">
      <c r="A125" s="67"/>
      <c r="B125" t="s">
        <v>429</v>
      </c>
      <c r="C125" s="62"/>
      <c r="D125" s="62"/>
      <c r="E125" s="203"/>
      <c r="F125" s="203"/>
    </row>
    <row r="126" spans="1:6" s="65" customFormat="1" ht="18" customHeight="1">
      <c r="A126" s="67"/>
      <c r="B126" t="s">
        <v>430</v>
      </c>
      <c r="C126" s="62"/>
      <c r="D126" s="62"/>
      <c r="E126" s="203"/>
      <c r="F126" s="203"/>
    </row>
    <row r="127" spans="1:6" s="65" customFormat="1" ht="18" customHeight="1">
      <c r="A127" s="67"/>
      <c r="B127" t="s">
        <v>398</v>
      </c>
      <c r="C127" s="62"/>
      <c r="D127" s="62"/>
      <c r="E127" s="203"/>
      <c r="F127" s="203"/>
    </row>
    <row r="128" spans="1:6" s="65" customFormat="1" ht="18" customHeight="1">
      <c r="A128" s="67"/>
      <c r="B128" t="s">
        <v>245</v>
      </c>
      <c r="C128" s="62"/>
      <c r="D128" s="62"/>
      <c r="E128" s="203"/>
      <c r="F128" s="203"/>
    </row>
    <row r="129" spans="1:6" s="65" customFormat="1" ht="18" customHeight="1">
      <c r="A129" s="67"/>
      <c r="B129" s="62"/>
      <c r="C129" s="62"/>
      <c r="D129" s="62"/>
      <c r="E129" s="203"/>
      <c r="F129" s="203"/>
    </row>
    <row r="130" spans="1:6" s="65" customFormat="1" ht="18" customHeight="1">
      <c r="A130" s="67">
        <v>14</v>
      </c>
      <c r="B130" s="62" t="s">
        <v>366</v>
      </c>
      <c r="C130" s="62"/>
      <c r="D130" s="62"/>
      <c r="E130" s="203"/>
      <c r="F130" s="203"/>
    </row>
    <row r="131" spans="1:6" s="65" customFormat="1" ht="18" customHeight="1">
      <c r="A131"/>
      <c r="B131"/>
      <c r="C131" s="62"/>
      <c r="D131" s="62"/>
      <c r="E131" s="203"/>
      <c r="F131" s="203"/>
    </row>
    <row r="132" spans="1:6" s="65" customFormat="1" ht="18" customHeight="1">
      <c r="A132"/>
      <c r="B132" t="s">
        <v>246</v>
      </c>
      <c r="C132" s="62"/>
      <c r="D132" s="62"/>
      <c r="E132" s="203"/>
      <c r="F132" s="203"/>
    </row>
    <row r="133" spans="1:6" s="65" customFormat="1" ht="18" customHeight="1">
      <c r="A133"/>
      <c r="B133" t="s">
        <v>405</v>
      </c>
      <c r="C133" s="62"/>
      <c r="D133" s="62"/>
      <c r="E133" s="203"/>
      <c r="F133" s="203"/>
    </row>
    <row r="134" spans="1:6" s="65" customFormat="1" ht="18" customHeight="1">
      <c r="A134"/>
      <c r="B134" t="s">
        <v>104</v>
      </c>
      <c r="C134" s="62"/>
      <c r="D134" s="62"/>
      <c r="E134" s="203"/>
      <c r="F134" s="203"/>
    </row>
    <row r="135" spans="1:6" s="65" customFormat="1" ht="18" customHeight="1">
      <c r="A135"/>
      <c r="B135"/>
      <c r="C135" s="62"/>
      <c r="D135" s="62"/>
      <c r="E135" s="203"/>
      <c r="F135" s="203"/>
    </row>
    <row r="136" spans="1:6" s="65" customFormat="1" ht="27" customHeight="1">
      <c r="A136" s="67"/>
      <c r="B136" s="62"/>
      <c r="C136" s="62"/>
      <c r="D136" s="62"/>
      <c r="E136" s="203"/>
      <c r="F136" s="203"/>
    </row>
    <row r="137" spans="1:6" s="65" customFormat="1" ht="15" customHeight="1">
      <c r="A137" s="67">
        <v>15</v>
      </c>
      <c r="B137" s="62" t="s">
        <v>278</v>
      </c>
      <c r="C137" s="62"/>
      <c r="D137" s="62"/>
      <c r="E137" s="203"/>
      <c r="F137" s="203"/>
    </row>
    <row r="138" spans="1:6" s="65" customFormat="1" ht="15" customHeight="1">
      <c r="A138" s="67"/>
      <c r="B138" s="62"/>
      <c r="C138" s="62"/>
      <c r="D138" s="62"/>
      <c r="E138" s="203"/>
      <c r="F138" s="203"/>
    </row>
    <row r="139" spans="1:6" s="65" customFormat="1" ht="15" customHeight="1">
      <c r="A139" s="67"/>
      <c r="B139" s="65" t="s">
        <v>392</v>
      </c>
      <c r="C139" s="62"/>
      <c r="D139" s="62"/>
      <c r="E139" s="203"/>
      <c r="F139" s="203"/>
    </row>
    <row r="140" spans="1:6" s="65" customFormat="1" ht="15" customHeight="1">
      <c r="A140" s="67"/>
      <c r="B140" s="65" t="s">
        <v>424</v>
      </c>
      <c r="D140" s="62"/>
      <c r="E140" s="203"/>
      <c r="F140" s="203"/>
    </row>
    <row r="141" spans="1:6" s="65" customFormat="1" ht="15" customHeight="1">
      <c r="A141" s="67"/>
      <c r="B141" s="65" t="s">
        <v>470</v>
      </c>
      <c r="D141" s="62"/>
      <c r="E141" s="203"/>
      <c r="F141" s="203"/>
    </row>
    <row r="142" spans="1:6" s="65" customFormat="1" ht="15" customHeight="1">
      <c r="A142" s="67"/>
      <c r="B142" s="65" t="s">
        <v>425</v>
      </c>
      <c r="D142" s="62"/>
      <c r="E142" s="203"/>
      <c r="F142" s="203"/>
    </row>
    <row r="143" spans="1:6" s="65" customFormat="1" ht="15" customHeight="1">
      <c r="A143" s="67"/>
      <c r="B143" s="65" t="s">
        <v>428</v>
      </c>
      <c r="D143" s="62"/>
      <c r="E143" s="203"/>
      <c r="F143" s="203"/>
    </row>
    <row r="144" spans="1:6" s="65" customFormat="1" ht="15" customHeight="1">
      <c r="A144" s="67"/>
      <c r="B144" s="65" t="s">
        <v>427</v>
      </c>
      <c r="D144" s="62"/>
      <c r="E144" s="203"/>
      <c r="F144" s="203"/>
    </row>
    <row r="145" spans="1:6" s="65" customFormat="1" ht="15" customHeight="1">
      <c r="A145" s="67"/>
      <c r="D145" s="62"/>
      <c r="E145" s="203"/>
      <c r="F145" s="203"/>
    </row>
    <row r="146" spans="1:6" s="65" customFormat="1" ht="15" customHeight="1">
      <c r="A146" s="67"/>
      <c r="B146" s="65" t="s">
        <v>445</v>
      </c>
      <c r="D146" s="62"/>
      <c r="E146" s="203"/>
      <c r="F146" s="203"/>
    </row>
    <row r="147" spans="1:6" s="65" customFormat="1" ht="15" customHeight="1">
      <c r="A147" s="67"/>
      <c r="B147" s="65" t="s">
        <v>444</v>
      </c>
      <c r="D147" s="62"/>
      <c r="E147" s="203"/>
      <c r="F147" s="203"/>
    </row>
    <row r="148" spans="1:6" s="65" customFormat="1" ht="15" customHeight="1">
      <c r="A148" s="67"/>
      <c r="B148" s="65" t="s">
        <v>442</v>
      </c>
      <c r="D148" s="62"/>
      <c r="E148" s="203"/>
      <c r="F148" s="203"/>
    </row>
    <row r="149" spans="1:6" s="65" customFormat="1" ht="15" customHeight="1">
      <c r="A149" s="67"/>
      <c r="B149" s="65" t="s">
        <v>426</v>
      </c>
      <c r="D149" s="62"/>
      <c r="E149" s="203"/>
      <c r="F149" s="203"/>
    </row>
    <row r="150" spans="1:6" s="65" customFormat="1" ht="15" customHeight="1">
      <c r="A150" s="67"/>
      <c r="D150" s="62"/>
      <c r="E150" s="203"/>
      <c r="F150" s="203"/>
    </row>
    <row r="151" spans="1:6" s="65" customFormat="1" ht="15" customHeight="1">
      <c r="A151" s="67"/>
      <c r="B151" s="65" t="s">
        <v>446</v>
      </c>
      <c r="C151"/>
      <c r="D151"/>
      <c r="E151"/>
      <c r="F151"/>
    </row>
    <row r="152" spans="1:6" s="65" customFormat="1" ht="15" customHeight="1">
      <c r="A152" s="67"/>
      <c r="B152" s="65" t="s">
        <v>447</v>
      </c>
      <c r="C152"/>
      <c r="D152"/>
      <c r="E152"/>
      <c r="F152"/>
    </row>
    <row r="153" spans="1:6" s="65" customFormat="1" ht="15" customHeight="1">
      <c r="A153" s="67"/>
      <c r="B153" s="65" t="s">
        <v>448</v>
      </c>
      <c r="C153"/>
      <c r="D153"/>
      <c r="E153"/>
      <c r="F153"/>
    </row>
    <row r="154" spans="1:6" s="65" customFormat="1" ht="15" customHeight="1">
      <c r="A154" s="67"/>
      <c r="B154" s="65" t="s">
        <v>449</v>
      </c>
      <c r="C154"/>
      <c r="D154"/>
      <c r="E154"/>
      <c r="F154"/>
    </row>
    <row r="155" spans="1:6" s="65" customFormat="1" ht="15" customHeight="1">
      <c r="A155" s="67"/>
      <c r="C155"/>
      <c r="D155"/>
      <c r="E155"/>
      <c r="F155"/>
    </row>
    <row r="156" spans="1:6" s="65" customFormat="1" ht="15" customHeight="1">
      <c r="A156" s="67">
        <v>16</v>
      </c>
      <c r="B156" s="62" t="s">
        <v>280</v>
      </c>
      <c r="C156"/>
      <c r="D156"/>
      <c r="E156"/>
      <c r="F156"/>
    </row>
    <row r="157" spans="1:6" s="65" customFormat="1" ht="15" customHeight="1">
      <c r="A157" s="67"/>
      <c r="B157"/>
      <c r="C157"/>
      <c r="D157"/>
      <c r="E157"/>
      <c r="F157"/>
    </row>
    <row r="158" spans="1:6" s="65" customFormat="1" ht="15" customHeight="1">
      <c r="A158" s="67"/>
      <c r="B158" t="s">
        <v>36</v>
      </c>
      <c r="C158"/>
      <c r="D158"/>
      <c r="E158"/>
      <c r="F158"/>
    </row>
    <row r="159" spans="1:6" s="65" customFormat="1" ht="15" customHeight="1">
      <c r="A159" s="66"/>
      <c r="E159" s="203"/>
      <c r="F159" s="203"/>
    </row>
    <row r="160" spans="1:6" s="65" customFormat="1" ht="15" customHeight="1">
      <c r="A160" s="67">
        <v>17</v>
      </c>
      <c r="B160" s="62" t="s">
        <v>153</v>
      </c>
      <c r="C160" s="251" t="s">
        <v>439</v>
      </c>
      <c r="D160" s="83" t="s">
        <v>288</v>
      </c>
      <c r="E160" s="212" t="s">
        <v>63</v>
      </c>
      <c r="F160" s="203"/>
    </row>
    <row r="161" spans="1:6" s="65" customFormat="1" ht="15" customHeight="1">
      <c r="A161" s="66"/>
      <c r="C161" s="270" t="s">
        <v>296</v>
      </c>
      <c r="D161" s="270" t="s">
        <v>229</v>
      </c>
      <c r="E161" s="175" t="s">
        <v>296</v>
      </c>
      <c r="F161" s="175" t="s">
        <v>229</v>
      </c>
    </row>
    <row r="162" spans="1:6" s="65" customFormat="1" ht="15" customHeight="1">
      <c r="A162" s="66"/>
      <c r="C162" s="271" t="s">
        <v>190</v>
      </c>
      <c r="D162" s="271" t="s">
        <v>190</v>
      </c>
      <c r="E162" s="212" t="s">
        <v>190</v>
      </c>
      <c r="F162" s="212" t="s">
        <v>190</v>
      </c>
    </row>
    <row r="163" spans="1:6" s="65" customFormat="1" ht="15" customHeight="1">
      <c r="A163" s="66"/>
      <c r="D163"/>
      <c r="E163" s="213"/>
      <c r="F163" s="203"/>
    </row>
    <row r="164" spans="1:6" s="65" customFormat="1" ht="15" customHeight="1">
      <c r="A164" s="66"/>
      <c r="B164" s="65" t="s">
        <v>286</v>
      </c>
      <c r="C164" s="214">
        <f>E164+1100</f>
        <v>-131</v>
      </c>
      <c r="D164" s="214">
        <f>F164+1119</f>
        <v>-4705</v>
      </c>
      <c r="E164" s="193">
        <v>-1231</v>
      </c>
      <c r="F164" s="215">
        <v>-5824</v>
      </c>
    </row>
    <row r="165" spans="1:6" s="65" customFormat="1" ht="15" customHeight="1">
      <c r="A165" s="66"/>
      <c r="B165" s="65" t="s">
        <v>435</v>
      </c>
      <c r="C165" s="214">
        <f>E165-19433</f>
        <v>-285</v>
      </c>
      <c r="D165" s="191">
        <f>F165-15000</f>
        <v>-1436</v>
      </c>
      <c r="E165" s="216">
        <v>19148</v>
      </c>
      <c r="F165" s="215">
        <v>13564</v>
      </c>
    </row>
    <row r="166" spans="1:6" s="65" customFormat="1" ht="15" customHeight="1">
      <c r="A166" s="66"/>
      <c r="B166" s="65" t="s">
        <v>434</v>
      </c>
      <c r="C166" s="214"/>
      <c r="D166" s="191"/>
      <c r="E166" s="216"/>
      <c r="F166" s="215"/>
    </row>
    <row r="167" spans="1:6" s="65" customFormat="1" ht="15" customHeight="1">
      <c r="A167" s="66"/>
      <c r="B167" s="65" t="s">
        <v>437</v>
      </c>
      <c r="C167" s="214">
        <f>+E167</f>
        <v>0</v>
      </c>
      <c r="D167" s="191">
        <f>F167-10000</f>
        <v>11553</v>
      </c>
      <c r="E167" s="216">
        <v>0</v>
      </c>
      <c r="F167" s="215">
        <v>21553</v>
      </c>
    </row>
    <row r="168" spans="1:6" s="65" customFormat="1" ht="15" customHeight="1">
      <c r="A168" s="66"/>
      <c r="B168" s="65" t="s">
        <v>436</v>
      </c>
      <c r="C168" s="214"/>
      <c r="D168" s="191"/>
      <c r="E168" s="216"/>
      <c r="F168" s="215"/>
    </row>
    <row r="169" spans="1:6" s="65" customFormat="1" ht="15" customHeight="1" thickBot="1">
      <c r="A169" s="66"/>
      <c r="C169" s="217">
        <f>C164+C165+C167</f>
        <v>-416</v>
      </c>
      <c r="D169" s="217">
        <f>D164+D165+D167</f>
        <v>5412</v>
      </c>
      <c r="E169" s="217">
        <f>E164+E165+E167</f>
        <v>17917</v>
      </c>
      <c r="F169" s="217">
        <f>F164+F165+F167</f>
        <v>29293</v>
      </c>
    </row>
    <row r="170" spans="1:6" s="65" customFormat="1" ht="15" customHeight="1" thickTop="1">
      <c r="A170" s="66"/>
      <c r="D170" s="83"/>
      <c r="E170" s="212"/>
      <c r="F170" s="203"/>
    </row>
    <row r="171" spans="1:6" s="65" customFormat="1" ht="15" customHeight="1">
      <c r="A171" s="66"/>
      <c r="B171" s="65" t="s">
        <v>292</v>
      </c>
      <c r="D171" s="83"/>
      <c r="E171" s="212"/>
      <c r="F171" s="203"/>
    </row>
    <row r="172" spans="1:6" s="65" customFormat="1" ht="15" customHeight="1">
      <c r="A172" s="66"/>
      <c r="B172" s="65" t="s">
        <v>293</v>
      </c>
      <c r="D172" s="83"/>
      <c r="E172" s="212"/>
      <c r="F172" s="203"/>
    </row>
    <row r="173" spans="1:6" s="65" customFormat="1" ht="15" customHeight="1">
      <c r="A173" s="66"/>
      <c r="B173" s="65" t="s">
        <v>294</v>
      </c>
      <c r="D173" s="83"/>
      <c r="E173" s="212"/>
      <c r="F173" s="203"/>
    </row>
    <row r="174" spans="1:6" s="65" customFormat="1" ht="15" customHeight="1">
      <c r="A174" s="66"/>
      <c r="D174" s="83"/>
      <c r="E174" s="212"/>
      <c r="F174" s="203"/>
    </row>
    <row r="175" spans="1:6" s="65" customFormat="1" ht="15" customHeight="1">
      <c r="A175" s="66"/>
      <c r="B175" s="65" t="s">
        <v>393</v>
      </c>
      <c r="D175" s="83"/>
      <c r="E175" s="212"/>
      <c r="F175" s="203"/>
    </row>
    <row r="176" spans="1:6" s="65" customFormat="1" ht="15" customHeight="1">
      <c r="A176" s="66"/>
      <c r="B176" s="65" t="s">
        <v>394</v>
      </c>
      <c r="D176" s="83"/>
      <c r="E176" s="212"/>
      <c r="F176" s="203"/>
    </row>
    <row r="177" spans="1:6" s="65" customFormat="1" ht="15" customHeight="1">
      <c r="A177" s="66"/>
      <c r="B177" s="65" t="s">
        <v>395</v>
      </c>
      <c r="D177" s="83"/>
      <c r="E177" s="212"/>
      <c r="F177" s="203"/>
    </row>
    <row r="178" spans="1:6" s="65" customFormat="1" ht="15" customHeight="1">
      <c r="A178" s="66"/>
      <c r="B178" s="65" t="s">
        <v>54</v>
      </c>
      <c r="D178" s="83"/>
      <c r="E178" s="212"/>
      <c r="F178" s="203"/>
    </row>
    <row r="179" s="65" customFormat="1" ht="13.5" customHeight="1"/>
    <row r="180" spans="1:6" s="65" customFormat="1" ht="15" customHeight="1">
      <c r="A180" s="67">
        <v>18</v>
      </c>
      <c r="B180" s="62" t="s">
        <v>258</v>
      </c>
      <c r="C180" s="62"/>
      <c r="D180" s="62"/>
      <c r="E180" s="203"/>
      <c r="F180" s="203"/>
    </row>
    <row r="181" ht="15" customHeight="1"/>
    <row r="182" spans="2:6" ht="13.5" customHeight="1">
      <c r="B182" s="65" t="s">
        <v>105</v>
      </c>
      <c r="E182" s="64"/>
      <c r="F182" s="64"/>
    </row>
    <row r="183" spans="2:6" ht="13.5" customHeight="1">
      <c r="B183" s="65" t="s">
        <v>421</v>
      </c>
      <c r="E183" s="64"/>
      <c r="F183" s="64"/>
    </row>
    <row r="184" spans="5:6" ht="13.5" customHeight="1">
      <c r="E184" s="64"/>
      <c r="F184" s="64"/>
    </row>
    <row r="185" spans="1:6" ht="13.5" customHeight="1">
      <c r="A185" s="50"/>
      <c r="B185" t="s">
        <v>248</v>
      </c>
      <c r="E185" s="64"/>
      <c r="F185" s="64"/>
    </row>
    <row r="186" spans="1:6" ht="13.5" customHeight="1">
      <c r="A186" s="50"/>
      <c r="B186" t="s">
        <v>242</v>
      </c>
      <c r="E186" s="64"/>
      <c r="F186" s="64"/>
    </row>
    <row r="187" spans="1:6" ht="13.5" customHeight="1">
      <c r="A187" s="50"/>
      <c r="B187" s="63"/>
      <c r="C187" s="63"/>
      <c r="D187" s="63"/>
      <c r="E187" s="218"/>
      <c r="F187" s="218"/>
    </row>
    <row r="188" spans="1:6" ht="13.5" customHeight="1">
      <c r="A188" s="50"/>
      <c r="B188" s="63"/>
      <c r="C188" s="63"/>
      <c r="D188" s="63"/>
      <c r="E188" s="218"/>
      <c r="F188" s="218"/>
    </row>
    <row r="189" spans="1:6" ht="13.5" customHeight="1">
      <c r="A189" s="67">
        <v>19</v>
      </c>
      <c r="B189" s="62" t="s">
        <v>259</v>
      </c>
      <c r="C189" s="62"/>
      <c r="D189" s="62"/>
      <c r="E189" s="203"/>
      <c r="F189" s="218"/>
    </row>
    <row r="190" spans="1:6" ht="13.5" customHeight="1">
      <c r="A190" s="66"/>
      <c r="B190" s="62"/>
      <c r="C190" s="62"/>
      <c r="D190" s="62"/>
      <c r="E190" s="203"/>
      <c r="F190" s="218"/>
    </row>
    <row r="191" spans="1:6" ht="13.5" customHeight="1">
      <c r="A191" s="66"/>
      <c r="B191" s="65" t="s">
        <v>249</v>
      </c>
      <c r="C191" s="65"/>
      <c r="D191" s="65"/>
      <c r="E191" s="203"/>
      <c r="F191" s="218"/>
    </row>
    <row r="192" spans="1:6" ht="13.5" customHeight="1">
      <c r="A192" s="66"/>
      <c r="B192" t="s">
        <v>155</v>
      </c>
      <c r="D192" s="65"/>
      <c r="E192" s="203"/>
      <c r="F192" s="218"/>
    </row>
    <row r="193" spans="1:6" ht="19.5" customHeight="1">
      <c r="A193" s="66"/>
      <c r="B193" s="65"/>
      <c r="C193" s="65"/>
      <c r="D193" s="65"/>
      <c r="E193" s="203"/>
      <c r="F193" s="218"/>
    </row>
    <row r="194" spans="1:6" ht="13.5" customHeight="1">
      <c r="A194" s="67">
        <v>20</v>
      </c>
      <c r="B194" s="62" t="s">
        <v>261</v>
      </c>
      <c r="C194" s="62"/>
      <c r="D194" s="62"/>
      <c r="E194" s="203"/>
      <c r="F194" s="218"/>
    </row>
    <row r="195" spans="1:6" ht="13.5" customHeight="1">
      <c r="A195" s="67"/>
      <c r="B195" s="62"/>
      <c r="C195" s="62"/>
      <c r="D195" s="62"/>
      <c r="E195" s="203"/>
      <c r="F195" s="218"/>
    </row>
    <row r="196" spans="1:6" ht="13.5" customHeight="1">
      <c r="A196" s="67"/>
      <c r="B196" s="62" t="s">
        <v>6</v>
      </c>
      <c r="C196" s="62"/>
      <c r="D196" s="62"/>
      <c r="E196" s="203"/>
      <c r="F196" s="218"/>
    </row>
    <row r="197" spans="1:6" ht="13.5" customHeight="1">
      <c r="A197" s="50"/>
      <c r="B197" s="155"/>
      <c r="C197" s="65"/>
      <c r="D197" s="65"/>
      <c r="E197" s="218"/>
      <c r="F197" s="218"/>
    </row>
    <row r="198" spans="1:6" ht="13.5" customHeight="1">
      <c r="A198" s="50"/>
      <c r="B198" s="155" t="s">
        <v>382</v>
      </c>
      <c r="C198" s="65"/>
      <c r="D198" s="65"/>
      <c r="E198" s="218"/>
      <c r="F198" s="218"/>
    </row>
    <row r="199" spans="1:6" ht="13.5" customHeight="1">
      <c r="A199" s="50"/>
      <c r="B199" s="155" t="s">
        <v>412</v>
      </c>
      <c r="C199" s="65"/>
      <c r="D199" s="65"/>
      <c r="E199" s="218"/>
      <c r="F199" s="218"/>
    </row>
    <row r="200" spans="1:6" ht="13.5" customHeight="1">
      <c r="A200" s="50"/>
      <c r="B200" s="155" t="s">
        <v>279</v>
      </c>
      <c r="C200" s="65"/>
      <c r="D200" s="65"/>
      <c r="E200" s="218"/>
      <c r="F200" s="218"/>
    </row>
    <row r="201" spans="1:6" ht="13.5" customHeight="1">
      <c r="A201" s="50"/>
      <c r="B201" s="155"/>
      <c r="C201" s="65"/>
      <c r="D201" s="65"/>
      <c r="E201" s="218"/>
      <c r="F201" s="218"/>
    </row>
    <row r="202" spans="1:6" ht="13.5" customHeight="1">
      <c r="A202" s="50"/>
      <c r="B202" s="155" t="s">
        <v>413</v>
      </c>
      <c r="C202" s="65"/>
      <c r="D202" s="65"/>
      <c r="E202" s="218"/>
      <c r="F202" s="218"/>
    </row>
    <row r="203" spans="1:6" ht="13.5" customHeight="1">
      <c r="A203" s="50"/>
      <c r="B203" s="155" t="s">
        <v>414</v>
      </c>
      <c r="C203" s="65"/>
      <c r="D203" s="65"/>
      <c r="E203" s="218"/>
      <c r="F203" s="218"/>
    </row>
    <row r="204" spans="1:6" ht="13.5" customHeight="1">
      <c r="A204" s="50"/>
      <c r="B204" s="155" t="s">
        <v>363</v>
      </c>
      <c r="C204" s="65"/>
      <c r="D204" s="65"/>
      <c r="E204" s="218"/>
      <c r="F204" s="218"/>
    </row>
    <row r="205" spans="1:6" ht="13.5" customHeight="1">
      <c r="A205" s="50"/>
      <c r="B205" s="155" t="s">
        <v>151</v>
      </c>
      <c r="C205" s="65"/>
      <c r="D205" s="65"/>
      <c r="E205" s="218"/>
      <c r="F205" s="218"/>
    </row>
    <row r="206" spans="1:6" ht="13.5" customHeight="1">
      <c r="A206" s="50"/>
      <c r="B206" s="155" t="s">
        <v>152</v>
      </c>
      <c r="C206" s="65"/>
      <c r="D206" s="65"/>
      <c r="E206" s="218"/>
      <c r="F206" s="218"/>
    </row>
    <row r="207" spans="1:6" ht="13.5" customHeight="1">
      <c r="A207" s="50"/>
      <c r="B207" s="155"/>
      <c r="C207" s="65"/>
      <c r="D207" s="65"/>
      <c r="E207" s="218"/>
      <c r="F207" s="218"/>
    </row>
    <row r="208" spans="1:6" ht="13.5" customHeight="1">
      <c r="A208" s="50"/>
      <c r="B208" s="155" t="s">
        <v>431</v>
      </c>
      <c r="C208" s="65"/>
      <c r="D208" s="65"/>
      <c r="E208" s="218"/>
      <c r="F208" s="218"/>
    </row>
    <row r="209" spans="1:6" ht="13.5" customHeight="1">
      <c r="A209" s="50"/>
      <c r="B209" s="155" t="s">
        <v>432</v>
      </c>
      <c r="C209" s="65"/>
      <c r="D209" s="65"/>
      <c r="E209" s="218"/>
      <c r="F209" s="218"/>
    </row>
    <row r="210" spans="1:6" ht="13.5" customHeight="1">
      <c r="A210" s="50"/>
      <c r="B210" s="155" t="s">
        <v>4</v>
      </c>
      <c r="C210" s="65"/>
      <c r="D210" s="65"/>
      <c r="E210" s="218"/>
      <c r="F210" s="218"/>
    </row>
    <row r="211" spans="1:6" ht="13.5" customHeight="1">
      <c r="A211" s="50"/>
      <c r="B211" s="155" t="s">
        <v>5</v>
      </c>
      <c r="C211" s="65"/>
      <c r="D211" s="65"/>
      <c r="E211" s="218"/>
      <c r="F211" s="218"/>
    </row>
    <row r="212" spans="1:6" ht="13.5" customHeight="1">
      <c r="A212" s="50"/>
      <c r="B212" s="155"/>
      <c r="C212" s="65"/>
      <c r="D212" s="65"/>
      <c r="E212" s="218"/>
      <c r="F212" s="218"/>
    </row>
    <row r="213" spans="1:6" ht="13.5" customHeight="1">
      <c r="A213" s="50"/>
      <c r="B213" s="155" t="s">
        <v>3</v>
      </c>
      <c r="C213" s="65"/>
      <c r="D213" s="65"/>
      <c r="E213" s="218"/>
      <c r="F213" s="218"/>
    </row>
    <row r="214" spans="1:6" ht="13.5" customHeight="1">
      <c r="A214" s="50"/>
      <c r="B214" s="155" t="s">
        <v>0</v>
      </c>
      <c r="C214" s="65"/>
      <c r="D214" s="65"/>
      <c r="E214" s="218"/>
      <c r="F214" s="218"/>
    </row>
    <row r="215" spans="1:6" ht="13.5" customHeight="1">
      <c r="A215" s="50"/>
      <c r="B215" s="155" t="s">
        <v>433</v>
      </c>
      <c r="C215" s="65"/>
      <c r="D215" s="65"/>
      <c r="E215" s="218"/>
      <c r="F215" s="218"/>
    </row>
    <row r="216" spans="1:6" ht="13.5" customHeight="1">
      <c r="A216" s="50"/>
      <c r="B216" s="155" t="s">
        <v>2</v>
      </c>
      <c r="C216" s="65"/>
      <c r="D216" s="65"/>
      <c r="E216" s="218"/>
      <c r="F216" s="218"/>
    </row>
    <row r="217" spans="1:6" ht="13.5" customHeight="1">
      <c r="A217" s="50"/>
      <c r="B217" s="155" t="s">
        <v>1</v>
      </c>
      <c r="C217" s="65"/>
      <c r="D217" s="65"/>
      <c r="E217" s="218"/>
      <c r="F217" s="218"/>
    </row>
    <row r="218" spans="1:6" ht="13.5" customHeight="1">
      <c r="A218" s="50"/>
      <c r="B218" s="155"/>
      <c r="C218" s="65"/>
      <c r="D218" s="65"/>
      <c r="E218" s="218"/>
      <c r="F218" s="218"/>
    </row>
    <row r="219" spans="1:6" ht="13.5" customHeight="1">
      <c r="A219" s="50"/>
      <c r="B219" s="155" t="s">
        <v>451</v>
      </c>
      <c r="C219" s="65"/>
      <c r="D219" s="65"/>
      <c r="E219" s="218"/>
      <c r="F219" s="218"/>
    </row>
    <row r="220" spans="1:6" ht="13.5" customHeight="1">
      <c r="A220" s="50"/>
      <c r="B220" s="155" t="s">
        <v>452</v>
      </c>
      <c r="C220" s="65"/>
      <c r="D220" s="65"/>
      <c r="E220" s="218"/>
      <c r="F220" s="218"/>
    </row>
    <row r="221" spans="1:6" ht="13.5" customHeight="1">
      <c r="A221" s="50"/>
      <c r="B221" s="155" t="s">
        <v>453</v>
      </c>
      <c r="C221" s="65"/>
      <c r="D221" s="65"/>
      <c r="E221" s="218"/>
      <c r="F221" s="218"/>
    </row>
    <row r="222" spans="1:6" ht="13.5" customHeight="1">
      <c r="A222" s="50"/>
      <c r="B222" s="155"/>
      <c r="C222" s="65"/>
      <c r="D222" s="65"/>
      <c r="E222" s="218"/>
      <c r="F222" s="218"/>
    </row>
    <row r="223" spans="1:6" ht="13.5" customHeight="1">
      <c r="A223" s="50"/>
      <c r="B223" s="155" t="s">
        <v>454</v>
      </c>
      <c r="C223" s="65"/>
      <c r="D223" s="65"/>
      <c r="E223" s="218"/>
      <c r="F223" s="218"/>
    </row>
    <row r="224" spans="1:6" ht="13.5" customHeight="1">
      <c r="A224" s="50"/>
      <c r="B224" s="155" t="s">
        <v>456</v>
      </c>
      <c r="C224" s="65"/>
      <c r="D224" s="65"/>
      <c r="E224" s="218"/>
      <c r="F224" s="218"/>
    </row>
    <row r="225" spans="1:6" ht="13.5" customHeight="1">
      <c r="A225" s="50"/>
      <c r="B225" s="155" t="s">
        <v>455</v>
      </c>
      <c r="C225" s="65"/>
      <c r="D225" s="65"/>
      <c r="E225" s="218"/>
      <c r="F225" s="218"/>
    </row>
    <row r="226" spans="1:6" ht="13.5" customHeight="1">
      <c r="A226" s="50"/>
      <c r="B226" s="155"/>
      <c r="C226" s="65"/>
      <c r="D226" s="65"/>
      <c r="E226" s="218"/>
      <c r="F226" s="218"/>
    </row>
    <row r="227" spans="1:6" ht="17.25" customHeight="1">
      <c r="A227" s="67">
        <v>21</v>
      </c>
      <c r="B227" s="62" t="s">
        <v>263</v>
      </c>
      <c r="C227" s="62"/>
      <c r="D227" s="62"/>
      <c r="E227" s="65"/>
      <c r="F227" s="65"/>
    </row>
    <row r="228" spans="1:6" ht="15.75" customHeight="1">
      <c r="A228" s="65"/>
      <c r="B228" s="65"/>
      <c r="C228" s="65"/>
      <c r="D228" s="65"/>
      <c r="E228" s="65"/>
      <c r="F228" s="65"/>
    </row>
    <row r="229" spans="1:6" ht="15.75" customHeight="1">
      <c r="A229" s="65"/>
      <c r="B229" s="65" t="s">
        <v>158</v>
      </c>
      <c r="C229" s="65"/>
      <c r="D229" s="65"/>
      <c r="E229" s="65"/>
      <c r="F229" s="65"/>
    </row>
    <row r="230" spans="1:6" ht="15.75" customHeight="1">
      <c r="A230" s="65"/>
      <c r="B230" s="68"/>
      <c r="C230" s="69"/>
      <c r="D230" s="69"/>
      <c r="E230" s="147" t="s">
        <v>60</v>
      </c>
      <c r="F230" s="59"/>
    </row>
    <row r="231" spans="1:6" ht="15.75" customHeight="1">
      <c r="A231" s="65"/>
      <c r="B231" s="150"/>
      <c r="C231" s="151"/>
      <c r="D231" s="151"/>
      <c r="E231" s="78" t="s">
        <v>62</v>
      </c>
      <c r="F231" s="78" t="s">
        <v>264</v>
      </c>
    </row>
    <row r="232" spans="1:6" ht="15.75" customHeight="1">
      <c r="A232" s="65"/>
      <c r="B232" s="76" t="s">
        <v>269</v>
      </c>
      <c r="C232" s="77"/>
      <c r="D232" s="77"/>
      <c r="E232" s="148"/>
      <c r="F232" s="72"/>
    </row>
    <row r="233" spans="1:6" ht="15.75" customHeight="1">
      <c r="A233" s="65"/>
      <c r="B233" s="70" t="s">
        <v>265</v>
      </c>
      <c r="C233" s="71"/>
      <c r="D233" s="71"/>
      <c r="E233" s="153" t="s">
        <v>61</v>
      </c>
      <c r="F233" s="219">
        <v>284977</v>
      </c>
    </row>
    <row r="234" spans="1:6" ht="15.75" customHeight="1">
      <c r="A234" s="65"/>
      <c r="B234" s="70" t="s">
        <v>266</v>
      </c>
      <c r="C234" s="71"/>
      <c r="D234" s="71"/>
      <c r="E234" s="72" t="s">
        <v>61</v>
      </c>
      <c r="F234" s="219">
        <v>7055</v>
      </c>
    </row>
    <row r="235" spans="1:6" ht="15.75" customHeight="1">
      <c r="A235" s="65"/>
      <c r="B235" s="70"/>
      <c r="C235" s="71"/>
      <c r="D235" s="71"/>
      <c r="E235" s="72"/>
      <c r="F235" s="219"/>
    </row>
    <row r="236" spans="1:6" ht="15.75" customHeight="1">
      <c r="A236" s="65"/>
      <c r="B236" s="70" t="s">
        <v>267</v>
      </c>
      <c r="C236" s="71"/>
      <c r="D236" s="71"/>
      <c r="E236" s="72"/>
      <c r="F236" s="220">
        <f>+F233+F234</f>
        <v>292032</v>
      </c>
    </row>
    <row r="237" spans="1:6" ht="15.75" customHeight="1">
      <c r="A237" s="65"/>
      <c r="B237" s="70"/>
      <c r="C237" s="71"/>
      <c r="D237" s="71"/>
      <c r="E237" s="72"/>
      <c r="F237" s="220"/>
    </row>
    <row r="238" spans="1:6" ht="15.75" customHeight="1">
      <c r="A238" s="65"/>
      <c r="B238" s="76" t="s">
        <v>268</v>
      </c>
      <c r="C238" s="77"/>
      <c r="D238" s="77"/>
      <c r="E238" s="72"/>
      <c r="F238" s="219"/>
    </row>
    <row r="239" spans="1:6" ht="15.75" customHeight="1">
      <c r="A239" s="65"/>
      <c r="B239" s="70" t="s">
        <v>265</v>
      </c>
      <c r="C239" s="71"/>
      <c r="D239" s="71"/>
      <c r="E239" s="72" t="s">
        <v>61</v>
      </c>
      <c r="F239" s="219">
        <v>664188</v>
      </c>
    </row>
    <row r="240" spans="1:6" ht="15.75" customHeight="1">
      <c r="A240" s="65"/>
      <c r="B240" s="70"/>
      <c r="C240" s="71"/>
      <c r="D240" s="71"/>
      <c r="E240" s="72" t="s">
        <v>443</v>
      </c>
      <c r="F240" s="219">
        <v>121742</v>
      </c>
    </row>
    <row r="241" spans="1:6" ht="15.75" customHeight="1">
      <c r="A241" s="65"/>
      <c r="B241" s="70"/>
      <c r="C241" s="71"/>
      <c r="D241" s="71"/>
      <c r="E241" s="72" t="s">
        <v>107</v>
      </c>
      <c r="F241" s="219">
        <v>131318</v>
      </c>
    </row>
    <row r="242" spans="1:6" ht="15.75" customHeight="1">
      <c r="A242" s="65"/>
      <c r="B242" s="70" t="s">
        <v>266</v>
      </c>
      <c r="C242" s="71"/>
      <c r="D242" s="71"/>
      <c r="E242" s="72" t="s">
        <v>61</v>
      </c>
      <c r="F242" s="219">
        <v>67956</v>
      </c>
    </row>
    <row r="243" spans="1:6" ht="15.75" customHeight="1">
      <c r="A243" s="65"/>
      <c r="B243" s="70"/>
      <c r="C243" s="71"/>
      <c r="D243" s="71"/>
      <c r="E243" s="72"/>
      <c r="F243" s="219"/>
    </row>
    <row r="244" spans="1:6" ht="15.75" customHeight="1" thickBot="1">
      <c r="A244" s="65"/>
      <c r="B244" s="70" t="s">
        <v>267</v>
      </c>
      <c r="C244" s="71"/>
      <c r="D244" s="71"/>
      <c r="E244" s="149"/>
      <c r="F244" s="221">
        <f>SUM(F239:F243)</f>
        <v>985204</v>
      </c>
    </row>
    <row r="245" spans="1:6" ht="15.75" customHeight="1" thickBot="1">
      <c r="A245" s="65"/>
      <c r="B245" s="73" t="s">
        <v>87</v>
      </c>
      <c r="C245" s="74"/>
      <c r="D245" s="74"/>
      <c r="E245" s="74"/>
      <c r="F245" s="222">
        <f>F236+F244</f>
        <v>1277236</v>
      </c>
    </row>
    <row r="246" spans="1:6" ht="15.75" customHeight="1">
      <c r="A246" s="65"/>
      <c r="B246" s="196"/>
      <c r="C246" s="196"/>
      <c r="D246" s="196"/>
      <c r="E246" s="196"/>
      <c r="F246" s="234"/>
    </row>
    <row r="247" spans="1:6" ht="17.25" customHeight="1">
      <c r="A247" s="130"/>
      <c r="B247" s="130"/>
      <c r="C247" s="130"/>
      <c r="D247" s="130"/>
      <c r="E247" s="130"/>
      <c r="F247" s="130"/>
    </row>
    <row r="248" spans="1:6" ht="15" customHeight="1">
      <c r="A248" s="67">
        <v>22</v>
      </c>
      <c r="B248" s="62" t="s">
        <v>270</v>
      </c>
      <c r="C248" s="62"/>
      <c r="D248" s="65"/>
      <c r="E248" s="65"/>
      <c r="F248" s="65"/>
    </row>
    <row r="249" spans="1:6" ht="15" customHeight="1">
      <c r="A249" s="66"/>
      <c r="B249" s="65"/>
      <c r="C249" s="65"/>
      <c r="D249" s="65"/>
      <c r="E249" s="65"/>
      <c r="F249" s="65"/>
    </row>
    <row r="250" spans="1:6" ht="15" customHeight="1">
      <c r="A250" s="66"/>
      <c r="B250" s="65" t="s">
        <v>106</v>
      </c>
      <c r="C250" s="65"/>
      <c r="D250" s="65"/>
      <c r="E250" s="65"/>
      <c r="F250" s="65"/>
    </row>
    <row r="251" spans="1:6" ht="15" customHeight="1">
      <c r="A251" s="66"/>
      <c r="B251" s="65" t="s">
        <v>155</v>
      </c>
      <c r="C251" s="65"/>
      <c r="D251" s="65"/>
      <c r="E251" s="65"/>
      <c r="F251" s="65"/>
    </row>
    <row r="252" spans="1:6" ht="15" customHeight="1">
      <c r="A252" s="66"/>
      <c r="B252" s="65"/>
      <c r="C252" s="65"/>
      <c r="D252" s="65"/>
      <c r="E252" s="65"/>
      <c r="F252" s="65"/>
    </row>
    <row r="253" spans="1:6" ht="15" customHeight="1">
      <c r="A253" s="66"/>
      <c r="B253" s="65"/>
      <c r="C253" s="65"/>
      <c r="D253" s="65"/>
      <c r="E253" s="65"/>
      <c r="F253" s="65"/>
    </row>
    <row r="254" spans="1:6" ht="15" customHeight="1">
      <c r="A254" s="67">
        <v>23</v>
      </c>
      <c r="B254" s="62" t="s">
        <v>271</v>
      </c>
      <c r="C254" s="62"/>
      <c r="D254" s="65"/>
      <c r="E254" s="65"/>
      <c r="F254" s="65"/>
    </row>
    <row r="255" spans="1:6" ht="15" customHeight="1">
      <c r="A255" s="66"/>
      <c r="B255" s="247"/>
      <c r="C255" s="65"/>
      <c r="D255" s="65"/>
      <c r="E255" s="65"/>
      <c r="F255" s="65"/>
    </row>
    <row r="256" spans="1:6" ht="15" customHeight="1">
      <c r="A256" s="66"/>
      <c r="B256" s="155" t="s">
        <v>418</v>
      </c>
      <c r="C256" s="65"/>
      <c r="D256" s="65"/>
      <c r="E256" s="65"/>
      <c r="F256" s="65"/>
    </row>
    <row r="257" spans="1:6" ht="15" customHeight="1">
      <c r="A257" s="66"/>
      <c r="B257" s="155" t="s">
        <v>25</v>
      </c>
      <c r="C257" s="65"/>
      <c r="D257" s="65"/>
      <c r="E257" s="65"/>
      <c r="F257" s="65"/>
    </row>
    <row r="258" spans="1:6" ht="15" customHeight="1">
      <c r="A258" s="66"/>
      <c r="B258" s="155" t="s">
        <v>26</v>
      </c>
      <c r="C258" s="65"/>
      <c r="D258" s="65"/>
      <c r="E258" s="65"/>
      <c r="F258" s="65"/>
    </row>
    <row r="259" spans="1:6" ht="15" customHeight="1">
      <c r="A259" s="66"/>
      <c r="B259" s="155"/>
      <c r="C259" s="65"/>
      <c r="D259" s="65"/>
      <c r="E259" s="65"/>
      <c r="F259" s="65"/>
    </row>
    <row r="260" spans="1:6" ht="15" customHeight="1">
      <c r="A260" s="261"/>
      <c r="B260" s="262" t="s">
        <v>7</v>
      </c>
      <c r="C260" s="263" t="s">
        <v>17</v>
      </c>
      <c r="D260" s="267" t="s">
        <v>9</v>
      </c>
      <c r="E260" s="232" t="s">
        <v>8</v>
      </c>
      <c r="F260" s="65"/>
    </row>
    <row r="261" spans="1:6" ht="15" customHeight="1">
      <c r="A261" s="266"/>
      <c r="B261" s="257"/>
      <c r="C261" s="71"/>
      <c r="D261" s="148"/>
      <c r="E261" s="226"/>
      <c r="F261" s="65"/>
    </row>
    <row r="262" spans="1:6" ht="15" customHeight="1">
      <c r="A262" s="256" t="s">
        <v>399</v>
      </c>
      <c r="B262" s="257" t="s">
        <v>11</v>
      </c>
      <c r="C262" s="71" t="s">
        <v>10</v>
      </c>
      <c r="D262" s="259">
        <v>408600000</v>
      </c>
      <c r="E262" s="226" t="s">
        <v>23</v>
      </c>
      <c r="F262" s="65"/>
    </row>
    <row r="263" spans="1:6" ht="15" customHeight="1">
      <c r="A263" s="256"/>
      <c r="B263" s="257"/>
      <c r="C263" s="71"/>
      <c r="D263" s="259"/>
      <c r="E263" s="226" t="s">
        <v>24</v>
      </c>
      <c r="F263" s="65"/>
    </row>
    <row r="264" spans="1:6" ht="15" customHeight="1">
      <c r="A264" s="256" t="s">
        <v>400</v>
      </c>
      <c r="B264" s="257" t="s">
        <v>19</v>
      </c>
      <c r="C264" s="71" t="s">
        <v>22</v>
      </c>
      <c r="D264" s="260">
        <v>67612662</v>
      </c>
      <c r="E264" s="226" t="s">
        <v>23</v>
      </c>
      <c r="F264" s="65"/>
    </row>
    <row r="265" spans="1:6" ht="15" customHeight="1">
      <c r="A265" s="266"/>
      <c r="B265" s="257"/>
      <c r="C265" s="71"/>
      <c r="D265" s="148"/>
      <c r="E265" s="226" t="s">
        <v>24</v>
      </c>
      <c r="F265" s="65"/>
    </row>
    <row r="266" spans="1:6" ht="15" customHeight="1">
      <c r="A266" s="256" t="s">
        <v>401</v>
      </c>
      <c r="B266" s="257" t="s">
        <v>15</v>
      </c>
      <c r="C266" s="71" t="s">
        <v>16</v>
      </c>
      <c r="D266" s="260">
        <v>41383173</v>
      </c>
      <c r="E266" s="226" t="s">
        <v>27</v>
      </c>
      <c r="F266" s="65"/>
    </row>
    <row r="267" spans="1:6" ht="15" customHeight="1">
      <c r="A267" s="256"/>
      <c r="B267" s="257"/>
      <c r="C267" s="71"/>
      <c r="D267" s="260"/>
      <c r="E267" s="226"/>
      <c r="F267" s="65"/>
    </row>
    <row r="268" spans="1:6" ht="15" customHeight="1">
      <c r="A268" s="256" t="s">
        <v>402</v>
      </c>
      <c r="B268" s="257" t="s">
        <v>12</v>
      </c>
      <c r="C268" s="71" t="s">
        <v>13</v>
      </c>
      <c r="D268" s="259">
        <v>39802687</v>
      </c>
      <c r="E268" s="226" t="s">
        <v>29</v>
      </c>
      <c r="F268" s="65"/>
    </row>
    <row r="269" spans="1:6" ht="15" customHeight="1">
      <c r="A269" s="256"/>
      <c r="B269" s="257"/>
      <c r="C269" s="71"/>
      <c r="D269" s="259"/>
      <c r="E269" s="226"/>
      <c r="F269" s="65"/>
    </row>
    <row r="270" spans="1:6" ht="15" customHeight="1">
      <c r="A270" s="256" t="s">
        <v>403</v>
      </c>
      <c r="B270" s="257" t="s">
        <v>11</v>
      </c>
      <c r="C270" s="71" t="s">
        <v>20</v>
      </c>
      <c r="D270" s="260">
        <v>27624427</v>
      </c>
      <c r="E270" s="226" t="s">
        <v>28</v>
      </c>
      <c r="F270" s="65"/>
    </row>
    <row r="271" spans="1:6" ht="15" customHeight="1">
      <c r="A271" s="256"/>
      <c r="B271" s="257"/>
      <c r="C271" s="71"/>
      <c r="D271" s="260"/>
      <c r="E271" s="226"/>
      <c r="F271" s="65"/>
    </row>
    <row r="272" spans="1:6" ht="15" customHeight="1">
      <c r="A272" s="256" t="s">
        <v>404</v>
      </c>
      <c r="B272" s="257" t="s">
        <v>175</v>
      </c>
      <c r="C272" s="71" t="s">
        <v>18</v>
      </c>
      <c r="D272" s="260">
        <v>15418147</v>
      </c>
      <c r="E272" s="226" t="s">
        <v>27</v>
      </c>
      <c r="F272" s="65"/>
    </row>
    <row r="273" spans="1:6" ht="15" customHeight="1">
      <c r="A273" s="256"/>
      <c r="B273" s="257"/>
      <c r="C273" s="71"/>
      <c r="D273" s="260"/>
      <c r="E273" s="226"/>
      <c r="F273" s="65"/>
    </row>
    <row r="274" spans="1:6" ht="15" customHeight="1">
      <c r="A274" s="256" t="s">
        <v>417</v>
      </c>
      <c r="B274" s="257" t="s">
        <v>12</v>
      </c>
      <c r="C274" s="71" t="s">
        <v>14</v>
      </c>
      <c r="D274" s="260">
        <v>5439395</v>
      </c>
      <c r="E274" s="226" t="s">
        <v>31</v>
      </c>
      <c r="F274" s="65"/>
    </row>
    <row r="275" spans="1:6" ht="15" customHeight="1">
      <c r="A275" s="256"/>
      <c r="B275" s="257"/>
      <c r="C275" s="71"/>
      <c r="D275" s="260"/>
      <c r="E275" s="226"/>
      <c r="F275" s="65"/>
    </row>
    <row r="276" spans="1:6" ht="15" customHeight="1">
      <c r="A276" s="268" t="s">
        <v>21</v>
      </c>
      <c r="B276" s="258" t="s">
        <v>80</v>
      </c>
      <c r="C276" s="151" t="s">
        <v>471</v>
      </c>
      <c r="D276" s="269">
        <v>4343478</v>
      </c>
      <c r="E276" s="230" t="s">
        <v>30</v>
      </c>
      <c r="F276" s="65"/>
    </row>
    <row r="277" ht="15" customHeight="1">
      <c r="F277" s="65"/>
    </row>
    <row r="278" spans="1:6" ht="15" customHeight="1">
      <c r="A278" s="66"/>
      <c r="B278" s="247"/>
      <c r="C278" s="65"/>
      <c r="D278" s="65"/>
      <c r="E278" s="65"/>
      <c r="F278" s="65"/>
    </row>
    <row r="279" spans="1:6" ht="15" customHeight="1">
      <c r="A279" s="66"/>
      <c r="B279" s="65" t="s">
        <v>68</v>
      </c>
      <c r="C279" s="65"/>
      <c r="D279" s="65"/>
      <c r="E279" s="65"/>
      <c r="F279" s="65"/>
    </row>
    <row r="280" spans="1:2" ht="15" customHeight="1">
      <c r="A280" s="67"/>
      <c r="B280" s="155" t="s">
        <v>67</v>
      </c>
    </row>
    <row r="281" spans="1:6" ht="12.75">
      <c r="A281" s="83"/>
      <c r="B281" s="83"/>
      <c r="C281" s="83"/>
      <c r="D281" s="83"/>
      <c r="E281" s="83"/>
      <c r="F281" s="83"/>
    </row>
    <row r="282" spans="1:3" ht="15" customHeight="1">
      <c r="A282" s="67">
        <v>24</v>
      </c>
      <c r="B282" s="62" t="s">
        <v>281</v>
      </c>
      <c r="C282" s="62"/>
    </row>
    <row r="283" ht="15" customHeight="1">
      <c r="A283" s="67"/>
    </row>
    <row r="284" spans="1:2" ht="15" customHeight="1">
      <c r="A284" s="67"/>
      <c r="B284" t="s">
        <v>91</v>
      </c>
    </row>
    <row r="285" spans="1:6" ht="15" customHeight="1">
      <c r="A285" s="83"/>
      <c r="B285" s="83"/>
      <c r="C285" s="83"/>
      <c r="D285" s="83"/>
      <c r="E285" s="83"/>
      <c r="F285" s="83"/>
    </row>
    <row r="286" spans="1:2" ht="15" customHeight="1">
      <c r="A286" s="67">
        <v>25</v>
      </c>
      <c r="B286" s="62" t="s">
        <v>185</v>
      </c>
    </row>
    <row r="287" spans="1:2" ht="15" customHeight="1">
      <c r="A287" s="67"/>
      <c r="B287" s="62"/>
    </row>
    <row r="288" ht="15" customHeight="1">
      <c r="B288" t="s">
        <v>250</v>
      </c>
    </row>
    <row r="289" ht="15" customHeight="1">
      <c r="B289" t="s">
        <v>409</v>
      </c>
    </row>
    <row r="290" ht="15" customHeight="1">
      <c r="B290" s="235" t="s">
        <v>159</v>
      </c>
    </row>
    <row r="291" ht="15" customHeight="1"/>
    <row r="292" ht="15" customHeight="1"/>
    <row r="293" ht="15" customHeight="1"/>
    <row r="294" spans="1:2" ht="15" customHeight="1">
      <c r="A294" s="62">
        <v>26</v>
      </c>
      <c r="B294" s="62" t="s">
        <v>411</v>
      </c>
    </row>
    <row r="295" spans="1:2" ht="15" customHeight="1">
      <c r="A295" s="62"/>
      <c r="B295" s="62"/>
    </row>
    <row r="296" spans="1:2" ht="15" customHeight="1">
      <c r="A296" s="62"/>
      <c r="B296" s="65" t="s">
        <v>457</v>
      </c>
    </row>
    <row r="297" spans="1:2" ht="15" customHeight="1">
      <c r="A297" s="62"/>
      <c r="B297" s="65" t="s">
        <v>422</v>
      </c>
    </row>
    <row r="298" spans="1:2" ht="15" customHeight="1">
      <c r="A298" s="62"/>
      <c r="B298" s="65" t="s">
        <v>458</v>
      </c>
    </row>
    <row r="299" spans="1:2" ht="15" customHeight="1">
      <c r="A299" s="62"/>
      <c r="B299" s="65"/>
    </row>
    <row r="300" ht="15" customHeight="1">
      <c r="B300" t="s">
        <v>419</v>
      </c>
    </row>
    <row r="301" ht="15" customHeight="1">
      <c r="B301" t="s">
        <v>459</v>
      </c>
    </row>
    <row r="302" ht="15" customHeight="1">
      <c r="B302" t="s">
        <v>420</v>
      </c>
    </row>
    <row r="303" ht="15" customHeight="1">
      <c r="B303" t="s">
        <v>460</v>
      </c>
    </row>
    <row r="304" ht="15" customHeight="1">
      <c r="B304" t="s">
        <v>461</v>
      </c>
    </row>
    <row r="305" ht="15" customHeight="1"/>
    <row r="306" ht="15" customHeight="1">
      <c r="B306" t="s">
        <v>406</v>
      </c>
    </row>
    <row r="307" ht="15" customHeight="1">
      <c r="B307" t="s">
        <v>407</v>
      </c>
    </row>
    <row r="308" ht="15" customHeight="1"/>
    <row r="309" ht="15" customHeight="1">
      <c r="B309" t="s">
        <v>462</v>
      </c>
    </row>
    <row r="310" ht="15" customHeight="1"/>
    <row r="311" ht="15" customHeight="1">
      <c r="B311" t="s">
        <v>463</v>
      </c>
    </row>
    <row r="312" ht="15" customHeight="1">
      <c r="B312" t="s">
        <v>464</v>
      </c>
    </row>
    <row r="313" ht="15" customHeight="1">
      <c r="B313" t="s">
        <v>408</v>
      </c>
    </row>
    <row r="314" ht="15" customHeight="1">
      <c r="B314" t="s">
        <v>415</v>
      </c>
    </row>
    <row r="315" ht="15" customHeight="1">
      <c r="B315" t="s">
        <v>416</v>
      </c>
    </row>
    <row r="316" ht="15" customHeight="1">
      <c r="B316" t="s">
        <v>423</v>
      </c>
    </row>
    <row r="317" ht="15" customHeight="1">
      <c r="B317" t="s">
        <v>467</v>
      </c>
    </row>
    <row r="318" ht="15" customHeight="1">
      <c r="B318" t="s">
        <v>468</v>
      </c>
    </row>
    <row r="319" ht="15" customHeight="1">
      <c r="B319" t="s">
        <v>469</v>
      </c>
    </row>
    <row r="320" ht="15" customHeight="1">
      <c r="B320" t="s">
        <v>472</v>
      </c>
    </row>
    <row r="321" ht="15" customHeight="1"/>
    <row r="322" ht="15" customHeight="1">
      <c r="B322" t="s">
        <v>465</v>
      </c>
    </row>
    <row r="323" ht="15" customHeight="1">
      <c r="B323" t="s">
        <v>466</v>
      </c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>
      <c r="A330" s="62" t="s">
        <v>282</v>
      </c>
    </row>
    <row r="331" ht="15" customHeight="1">
      <c r="A331" s="62" t="s">
        <v>334</v>
      </c>
    </row>
    <row r="332" ht="15" customHeight="1">
      <c r="A332" s="62"/>
    </row>
    <row r="333" ht="15" customHeight="1">
      <c r="A333" s="62" t="s">
        <v>283</v>
      </c>
    </row>
    <row r="343" spans="2:7" ht="12.75">
      <c r="B343" s="292"/>
      <c r="C343" s="292"/>
      <c r="D343" s="292"/>
      <c r="E343" s="292"/>
      <c r="F343" s="292"/>
      <c r="G343" s="292"/>
    </row>
    <row r="344" spans="1:6" ht="12.75">
      <c r="A344" s="292"/>
      <c r="B344" s="292"/>
      <c r="C344" s="292"/>
      <c r="D344" s="292"/>
      <c r="E344" s="292"/>
      <c r="F344" s="292"/>
    </row>
    <row r="349" ht="12.75">
      <c r="A349" s="62"/>
    </row>
    <row r="350" ht="12.75">
      <c r="A350" s="62"/>
    </row>
    <row r="351" ht="12.75">
      <c r="A351" s="62"/>
    </row>
    <row r="352" ht="12.75">
      <c r="A352" s="62"/>
    </row>
    <row r="353" ht="12.75">
      <c r="A353" s="62"/>
    </row>
    <row r="354" ht="12.75">
      <c r="A354" s="62"/>
    </row>
    <row r="355" ht="12.75">
      <c r="A355" s="62"/>
    </row>
    <row r="356" ht="12.75">
      <c r="A356" s="62"/>
    </row>
    <row r="357" ht="12.75">
      <c r="A357" s="62"/>
    </row>
    <row r="358" ht="12.75">
      <c r="A358" s="62"/>
    </row>
    <row r="359" ht="12.75">
      <c r="A359" s="62"/>
    </row>
    <row r="360" ht="12.75">
      <c r="A360" s="62"/>
    </row>
    <row r="361" ht="12.75">
      <c r="A361" s="62"/>
    </row>
  </sheetData>
  <mergeCells count="8">
    <mergeCell ref="A2:F2"/>
    <mergeCell ref="A3:F3"/>
    <mergeCell ref="A4:F4"/>
    <mergeCell ref="A5:F5"/>
    <mergeCell ref="A6:F6"/>
    <mergeCell ref="A9:F9"/>
    <mergeCell ref="B343:G343"/>
    <mergeCell ref="A344:F344"/>
  </mergeCells>
  <printOptions/>
  <pageMargins left="0.57" right="0.26" top="0.58" bottom="0.74" header="0.5" footer="0.5"/>
  <pageSetup horizontalDpi="600" verticalDpi="600" orientation="portrait" paperSize="9" scale="87" r:id="rId1"/>
  <headerFooter alignWithMargins="0">
    <oddFooter>&amp;C&amp;P</oddFooter>
  </headerFooter>
  <rowBreaks count="6" manualBreakCount="6">
    <brk id="55" max="6" man="1"/>
    <brk id="94" max="6" man="1"/>
    <brk id="135" max="6" man="1"/>
    <brk id="187" max="6" man="1"/>
    <brk id="245" max="6" man="1"/>
    <brk id="29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57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4" customWidth="1"/>
    <col min="11" max="11" width="14.421875" style="0" customWidth="1"/>
    <col min="12" max="14" width="14.421875" style="0" hidden="1" customWidth="1"/>
    <col min="15" max="15" width="3.421875" style="14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4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78</v>
      </c>
      <c r="V1" s="2" t="s">
        <v>179</v>
      </c>
    </row>
    <row r="2" spans="1:22" ht="15.75">
      <c r="A2" s="2" t="s">
        <v>291</v>
      </c>
      <c r="V2" s="2" t="s">
        <v>291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89"/>
      <c r="B4" s="16" t="s">
        <v>80</v>
      </c>
      <c r="C4" s="17" t="s">
        <v>81</v>
      </c>
      <c r="D4" s="17" t="s">
        <v>82</v>
      </c>
      <c r="E4" s="17" t="s">
        <v>83</v>
      </c>
      <c r="F4" s="17" t="s">
        <v>84</v>
      </c>
      <c r="G4" s="17" t="s">
        <v>85</v>
      </c>
      <c r="H4" s="17" t="s">
        <v>86</v>
      </c>
      <c r="I4" s="93" t="s">
        <v>197</v>
      </c>
      <c r="J4" s="18"/>
      <c r="K4" s="19" t="s">
        <v>198</v>
      </c>
      <c r="L4" s="20" t="s">
        <v>199</v>
      </c>
      <c r="M4" s="20"/>
      <c r="N4" s="19" t="s">
        <v>198</v>
      </c>
      <c r="O4" s="18"/>
      <c r="P4" s="18"/>
      <c r="Q4" s="19" t="s">
        <v>170</v>
      </c>
      <c r="R4" s="18"/>
      <c r="S4" s="21" t="s">
        <v>169</v>
      </c>
      <c r="T4" s="19" t="s">
        <v>200</v>
      </c>
      <c r="V4" s="15" t="s">
        <v>166</v>
      </c>
      <c r="W4" s="16" t="s">
        <v>79</v>
      </c>
      <c r="X4" s="17" t="s">
        <v>303</v>
      </c>
      <c r="Y4" s="17" t="s">
        <v>174</v>
      </c>
      <c r="Z4" s="17" t="s">
        <v>175</v>
      </c>
      <c r="AA4" s="17" t="s">
        <v>176</v>
      </c>
      <c r="AB4" s="17" t="s">
        <v>201</v>
      </c>
      <c r="AC4" s="17" t="s">
        <v>178</v>
      </c>
      <c r="AD4" s="17" t="s">
        <v>177</v>
      </c>
      <c r="AE4" s="17" t="s">
        <v>180</v>
      </c>
      <c r="AF4" s="17" t="s">
        <v>202</v>
      </c>
      <c r="AG4" s="18"/>
      <c r="AH4" s="19" t="s">
        <v>203</v>
      </c>
      <c r="AJ4" s="19" t="s">
        <v>170</v>
      </c>
      <c r="AK4" s="18"/>
      <c r="AL4" s="21" t="s">
        <v>169</v>
      </c>
      <c r="AM4" s="19" t="s">
        <v>200</v>
      </c>
    </row>
    <row r="5" spans="1:39" ht="13.5" thickBot="1">
      <c r="A5" s="90" t="s">
        <v>204</v>
      </c>
      <c r="B5" s="23">
        <v>1</v>
      </c>
      <c r="C5" s="24">
        <v>1</v>
      </c>
      <c r="D5" s="24">
        <v>0.6</v>
      </c>
      <c r="E5" s="24">
        <v>0.6</v>
      </c>
      <c r="F5" s="24">
        <v>1</v>
      </c>
      <c r="G5" s="24">
        <v>1</v>
      </c>
      <c r="H5" s="24">
        <v>1</v>
      </c>
      <c r="I5" s="94"/>
      <c r="K5" s="25"/>
      <c r="L5" s="18" t="s">
        <v>88</v>
      </c>
      <c r="M5" s="18" t="s">
        <v>89</v>
      </c>
      <c r="N5" s="19" t="s">
        <v>213</v>
      </c>
      <c r="O5" s="18"/>
      <c r="P5" s="26"/>
      <c r="Q5" s="27"/>
      <c r="R5" s="26"/>
      <c r="S5" s="27"/>
      <c r="T5" s="28"/>
      <c r="V5" s="22" t="s">
        <v>204</v>
      </c>
      <c r="W5" s="23">
        <v>1</v>
      </c>
      <c r="X5" s="29" t="s">
        <v>302</v>
      </c>
      <c r="Y5" s="24">
        <v>0.6</v>
      </c>
      <c r="Z5" s="24">
        <v>0.4</v>
      </c>
      <c r="AA5" s="24">
        <v>1</v>
      </c>
      <c r="AB5" s="24">
        <v>0.8</v>
      </c>
      <c r="AC5" s="24">
        <v>1</v>
      </c>
      <c r="AD5" s="24">
        <v>1</v>
      </c>
      <c r="AE5" s="24">
        <v>0.7</v>
      </c>
      <c r="AF5" s="24">
        <v>0.7</v>
      </c>
      <c r="AG5" s="30"/>
      <c r="AH5" s="25"/>
      <c r="AJ5" s="27"/>
      <c r="AK5" s="26"/>
      <c r="AL5" s="27"/>
      <c r="AM5" s="28"/>
    </row>
    <row r="6" spans="1:39" ht="12.75">
      <c r="A6" s="91"/>
      <c r="B6" s="32"/>
      <c r="C6" s="13"/>
      <c r="D6" s="13"/>
      <c r="E6" s="13"/>
      <c r="F6" s="13"/>
      <c r="G6" s="13"/>
      <c r="H6" s="13"/>
      <c r="I6" s="94"/>
      <c r="K6" s="25"/>
      <c r="L6" s="26"/>
      <c r="M6" s="26"/>
      <c r="N6" s="25"/>
      <c r="O6" s="26"/>
      <c r="P6" s="26"/>
      <c r="Q6" s="25"/>
      <c r="R6" s="26"/>
      <c r="S6" s="25"/>
      <c r="T6" s="28"/>
      <c r="V6" s="31"/>
      <c r="W6" s="32"/>
      <c r="X6" s="13"/>
      <c r="Y6" s="13"/>
      <c r="Z6" s="13"/>
      <c r="AA6" s="13"/>
      <c r="AB6" s="13"/>
      <c r="AC6" s="13"/>
      <c r="AD6" s="13"/>
      <c r="AE6" s="13"/>
      <c r="AF6" s="13"/>
      <c r="AH6" s="25"/>
      <c r="AJ6" s="25"/>
      <c r="AK6" s="26"/>
      <c r="AL6" s="25"/>
      <c r="AM6" s="28"/>
    </row>
    <row r="7" spans="1:39" ht="21" customHeight="1" thickBot="1">
      <c r="A7" s="88" t="s">
        <v>167</v>
      </c>
      <c r="B7" s="33">
        <v>11717171</v>
      </c>
      <c r="C7" s="34">
        <v>15709428</v>
      </c>
      <c r="D7" s="34">
        <v>669901.26</v>
      </c>
      <c r="E7" s="34">
        <v>1868706.49</v>
      </c>
      <c r="F7" s="34">
        <f>5734855.64</f>
        <v>5734855.64</v>
      </c>
      <c r="G7" s="34">
        <v>0</v>
      </c>
      <c r="H7" s="34">
        <v>0</v>
      </c>
      <c r="I7" s="95">
        <f>AH7</f>
        <v>557525865.65</v>
      </c>
      <c r="J7" s="9"/>
      <c r="K7" s="35">
        <f>SUM(B7:I7)-B7</f>
        <v>581508757.04</v>
      </c>
      <c r="L7" s="10"/>
      <c r="M7" s="10"/>
      <c r="N7" s="35">
        <f>K7-L7</f>
        <v>581508757.04</v>
      </c>
      <c r="O7" s="10"/>
      <c r="P7" s="10"/>
      <c r="Q7" s="35">
        <v>358674721</v>
      </c>
      <c r="R7" s="10"/>
      <c r="S7" s="35">
        <f>K7-Q7</f>
        <v>222834036.03999996</v>
      </c>
      <c r="T7" s="36">
        <f>S7/Q7</f>
        <v>0.6212705356506013</v>
      </c>
      <c r="V7" s="25" t="s">
        <v>167</v>
      </c>
      <c r="W7" s="33">
        <v>43235894.67</v>
      </c>
      <c r="X7" s="34">
        <v>41749389</v>
      </c>
      <c r="Y7" s="34">
        <f>2070000*3.8</f>
        <v>7866000</v>
      </c>
      <c r="Z7" s="34">
        <v>460650027</v>
      </c>
      <c r="AA7" s="34">
        <v>3780645.98</v>
      </c>
      <c r="AB7" s="34">
        <v>0</v>
      </c>
      <c r="AC7" s="34">
        <v>0</v>
      </c>
      <c r="AD7" s="34">
        <v>0</v>
      </c>
      <c r="AE7" s="34">
        <v>56480</v>
      </c>
      <c r="AF7" s="34">
        <v>187429</v>
      </c>
      <c r="AG7" s="9"/>
      <c r="AH7" s="35">
        <f>SUM(W7:AF7)</f>
        <v>557525865.65</v>
      </c>
      <c r="AJ7" s="35">
        <v>346259892</v>
      </c>
      <c r="AK7" s="10"/>
      <c r="AL7" s="35">
        <f>AH7-AJ7</f>
        <v>211265973.64999998</v>
      </c>
      <c r="AM7" s="36">
        <f>AL7/AJ7</f>
        <v>0.6101370055588188</v>
      </c>
    </row>
    <row r="8" spans="1:39" ht="21" customHeight="1" thickTop="1">
      <c r="A8" s="88" t="s">
        <v>171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/>
      <c r="H8" s="38"/>
      <c r="I8" s="96"/>
      <c r="J8" s="9"/>
      <c r="K8" s="39"/>
      <c r="L8" s="10"/>
      <c r="M8" s="10"/>
      <c r="N8" s="39"/>
      <c r="O8" s="10"/>
      <c r="P8" s="10"/>
      <c r="Q8" s="39"/>
      <c r="R8" s="10"/>
      <c r="S8" s="39"/>
      <c r="T8" s="36"/>
      <c r="V8" s="25" t="s">
        <v>171</v>
      </c>
      <c r="W8" s="37">
        <v>-4171.18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9"/>
      <c r="AH8" s="39">
        <f>SUM(W8:AG8)</f>
        <v>-4171.18</v>
      </c>
      <c r="AJ8" s="39"/>
      <c r="AK8" s="10"/>
      <c r="AL8" s="39"/>
      <c r="AM8" s="36"/>
    </row>
    <row r="9" spans="1:39" ht="34.5" customHeight="1">
      <c r="A9" s="88" t="s">
        <v>205</v>
      </c>
      <c r="B9" s="37">
        <f>107286+69.32+9.73</f>
        <v>107365.05</v>
      </c>
      <c r="C9" s="38">
        <v>137175</v>
      </c>
      <c r="D9" s="38">
        <f>41389+837.96+1470.69</f>
        <v>43697.65</v>
      </c>
      <c r="E9" s="38">
        <f>18568.63+677.12</f>
        <v>19245.75</v>
      </c>
      <c r="F9" s="38">
        <v>318182.29</v>
      </c>
      <c r="G9" s="38">
        <v>0</v>
      </c>
      <c r="H9" s="38">
        <v>63000</v>
      </c>
      <c r="I9" s="96">
        <f>AH9</f>
        <v>35317885.6</v>
      </c>
      <c r="J9" s="9"/>
      <c r="K9" s="39">
        <f>SUM(B9:I9)</f>
        <v>36006551.34</v>
      </c>
      <c r="L9" s="10"/>
      <c r="M9" s="10"/>
      <c r="N9" s="39">
        <f>K9</f>
        <v>36006551.34</v>
      </c>
      <c r="O9" s="10"/>
      <c r="P9" s="10"/>
      <c r="Q9" s="39">
        <v>17007728</v>
      </c>
      <c r="R9" s="10"/>
      <c r="S9" s="39">
        <f>K9-Q9</f>
        <v>18998823.340000004</v>
      </c>
      <c r="T9" s="36">
        <f>S9/Q9</f>
        <v>1.117070036632759</v>
      </c>
      <c r="V9" s="25" t="s">
        <v>205</v>
      </c>
      <c r="W9" s="37">
        <v>14351063.11</v>
      </c>
      <c r="X9" s="38">
        <v>143805</v>
      </c>
      <c r="Y9" s="38">
        <f>8000*3.8</f>
        <v>30400</v>
      </c>
      <c r="Z9" s="38">
        <v>20390000</v>
      </c>
      <c r="AA9" s="38">
        <v>210211.49</v>
      </c>
      <c r="AB9" s="38">
        <v>9302</v>
      </c>
      <c r="AC9" s="38"/>
      <c r="AD9" s="38"/>
      <c r="AE9" s="38">
        <v>0</v>
      </c>
      <c r="AF9" s="38">
        <v>183104</v>
      </c>
      <c r="AG9" s="9"/>
      <c r="AH9" s="39">
        <f>SUM(W9:AF9)</f>
        <v>35317885.6</v>
      </c>
      <c r="AJ9" s="39">
        <v>11263550</v>
      </c>
      <c r="AK9" s="10"/>
      <c r="AL9" s="39">
        <f>AH9-AJ9</f>
        <v>24054335.6</v>
      </c>
      <c r="AM9" s="36">
        <f>AL9/AJ9</f>
        <v>2.135590963772523</v>
      </c>
    </row>
    <row r="10" spans="1:39" ht="33" customHeight="1">
      <c r="A10" s="88" t="s">
        <v>206</v>
      </c>
      <c r="B10" s="37"/>
      <c r="C10" s="38"/>
      <c r="D10" s="38"/>
      <c r="E10" s="38"/>
      <c r="F10" s="38"/>
      <c r="G10" s="38"/>
      <c r="H10" s="38"/>
      <c r="I10" s="96"/>
      <c r="J10" s="9"/>
      <c r="K10" s="39"/>
      <c r="L10" s="10"/>
      <c r="M10" s="10"/>
      <c r="N10" s="39"/>
      <c r="O10" s="10"/>
      <c r="P10" s="10"/>
      <c r="Q10" s="39"/>
      <c r="R10" s="10"/>
      <c r="S10" s="39"/>
      <c r="T10" s="28"/>
      <c r="V10" s="25" t="s">
        <v>206</v>
      </c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9"/>
      <c r="AH10" s="39"/>
      <c r="AJ10" s="39"/>
      <c r="AK10" s="10"/>
      <c r="AL10" s="39"/>
      <c r="AM10" s="28"/>
    </row>
    <row r="11" spans="1:39" ht="12.75" customHeight="1">
      <c r="A11" s="88" t="s">
        <v>207</v>
      </c>
      <c r="B11" s="37"/>
      <c r="C11" s="38"/>
      <c r="D11" s="38"/>
      <c r="E11" s="38"/>
      <c r="F11" s="38"/>
      <c r="G11" s="38"/>
      <c r="H11" s="38"/>
      <c r="I11" s="96"/>
      <c r="J11" s="9"/>
      <c r="K11" s="39"/>
      <c r="L11" s="10"/>
      <c r="M11" s="10"/>
      <c r="N11" s="39"/>
      <c r="O11" s="10"/>
      <c r="P11" s="10"/>
      <c r="Q11" s="39"/>
      <c r="R11" s="10"/>
      <c r="S11" s="39"/>
      <c r="T11" s="28"/>
      <c r="V11" s="25" t="s">
        <v>207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9"/>
      <c r="AH11" s="39"/>
      <c r="AJ11" s="39"/>
      <c r="AK11" s="10"/>
      <c r="AL11" s="39"/>
      <c r="AM11" s="28"/>
    </row>
    <row r="12" spans="1:39" ht="13.5" customHeight="1">
      <c r="A12" s="88" t="s">
        <v>208</v>
      </c>
      <c r="B12" s="37">
        <f aca="true" t="shared" si="0" ref="B12:I12">B15+B13+B14</f>
        <v>15485854.44</v>
      </c>
      <c r="C12" s="38">
        <f t="shared" si="0"/>
        <v>-310053.85999999987</v>
      </c>
      <c r="D12" s="38">
        <f t="shared" si="0"/>
        <v>106238.92</v>
      </c>
      <c r="E12" s="38">
        <f t="shared" si="0"/>
        <v>25638.399999999998</v>
      </c>
      <c r="F12" s="38">
        <f t="shared" si="0"/>
        <v>3047939.4099999997</v>
      </c>
      <c r="G12" s="38">
        <f t="shared" si="0"/>
        <v>-78682</v>
      </c>
      <c r="H12" s="38">
        <f t="shared" si="0"/>
        <v>-1582466.69</v>
      </c>
      <c r="I12" s="96">
        <f t="shared" si="0"/>
        <v>47200822.41</v>
      </c>
      <c r="J12" s="9"/>
      <c r="K12" s="39">
        <f aca="true" t="shared" si="1" ref="K12:K19">SUM(B12:I12)</f>
        <v>63895291.029999994</v>
      </c>
      <c r="L12" s="10"/>
      <c r="M12" s="10"/>
      <c r="N12" s="39">
        <f>K12-L12</f>
        <v>63895291.029999994</v>
      </c>
      <c r="O12" s="10"/>
      <c r="P12" s="10"/>
      <c r="Q12" s="39">
        <f>Q15+Q13</f>
        <v>64240257</v>
      </c>
      <c r="R12" s="10"/>
      <c r="S12" s="39">
        <f>K12-Q12</f>
        <v>-344965.97000000626</v>
      </c>
      <c r="T12" s="36">
        <f>S12/Q12</f>
        <v>-0.0053699344633693835</v>
      </c>
      <c r="V12" s="25" t="s">
        <v>208</v>
      </c>
      <c r="W12" s="38">
        <f aca="true" t="shared" si="2" ref="W12:AF12">W15+W13+W14</f>
        <v>-28751025.660000004</v>
      </c>
      <c r="X12" s="38">
        <f t="shared" si="2"/>
        <v>-3408807.5</v>
      </c>
      <c r="Y12" s="38">
        <f t="shared" si="2"/>
        <v>729560</v>
      </c>
      <c r="Z12" s="38">
        <f t="shared" si="2"/>
        <v>78247983</v>
      </c>
      <c r="AA12" s="38">
        <f t="shared" si="2"/>
        <v>428212.75</v>
      </c>
      <c r="AB12" s="38">
        <f t="shared" si="2"/>
        <v>390590</v>
      </c>
      <c r="AC12" s="38">
        <f t="shared" si="2"/>
        <v>-1333</v>
      </c>
      <c r="AD12" s="38">
        <f t="shared" si="2"/>
        <v>-24261</v>
      </c>
      <c r="AE12" s="38">
        <f t="shared" si="2"/>
        <v>-126518.18</v>
      </c>
      <c r="AF12" s="38">
        <f t="shared" si="2"/>
        <v>-283578</v>
      </c>
      <c r="AG12" s="9"/>
      <c r="AH12" s="39">
        <f aca="true" t="shared" si="3" ref="AH12:AH19">SUM(W12:AF12)</f>
        <v>47200822.41</v>
      </c>
      <c r="AJ12" s="39">
        <f>AJ15+AJ13</f>
        <v>58840816</v>
      </c>
      <c r="AK12" s="10"/>
      <c r="AL12" s="39">
        <f>AH12-AJ12</f>
        <v>-11639993.590000004</v>
      </c>
      <c r="AM12" s="36">
        <f>AL12/AJ12</f>
        <v>-0.19782175675469904</v>
      </c>
    </row>
    <row r="13" spans="1:39" ht="36" customHeight="1">
      <c r="A13" s="88" t="s">
        <v>172</v>
      </c>
      <c r="B13" s="6">
        <f>19423154.56+70213.7</f>
        <v>19493368.259999998</v>
      </c>
      <c r="C13" s="7">
        <f>109180+504889</f>
        <v>614069</v>
      </c>
      <c r="D13" s="9">
        <v>15632.83</v>
      </c>
      <c r="E13" s="7">
        <v>19453.1</v>
      </c>
      <c r="F13" s="9">
        <v>3321512.04</v>
      </c>
      <c r="G13" s="7">
        <v>0</v>
      </c>
      <c r="H13" s="9">
        <v>0</v>
      </c>
      <c r="I13" s="97">
        <f aca="true" t="shared" si="4" ref="I13:I19">AH13</f>
        <v>27108834.56</v>
      </c>
      <c r="J13" s="9"/>
      <c r="K13" s="42">
        <f t="shared" si="1"/>
        <v>50572869.78999999</v>
      </c>
      <c r="L13" s="10"/>
      <c r="M13" s="10"/>
      <c r="N13" s="42">
        <f>K13</f>
        <v>50572869.78999999</v>
      </c>
      <c r="O13" s="10"/>
      <c r="P13" s="10"/>
      <c r="Q13" s="42">
        <v>29135318</v>
      </c>
      <c r="R13" s="10"/>
      <c r="S13" s="42">
        <f>K13-Q13</f>
        <v>21437551.78999999</v>
      </c>
      <c r="T13" s="36">
        <f>S13/Q13</f>
        <v>0.7357926139676935</v>
      </c>
      <c r="V13" s="25" t="s">
        <v>172</v>
      </c>
      <c r="W13" s="40">
        <v>25304583.4</v>
      </c>
      <c r="X13" s="41">
        <v>85037.5</v>
      </c>
      <c r="Y13" s="41">
        <v>0</v>
      </c>
      <c r="Z13" s="41">
        <v>1133000</v>
      </c>
      <c r="AA13" s="41">
        <v>72633.66</v>
      </c>
      <c r="AB13" s="41">
        <v>513580</v>
      </c>
      <c r="AC13" s="41">
        <v>0</v>
      </c>
      <c r="AD13" s="41"/>
      <c r="AE13" s="41">
        <v>0</v>
      </c>
      <c r="AF13" s="41">
        <v>0</v>
      </c>
      <c r="AG13" s="9"/>
      <c r="AH13" s="42">
        <f t="shared" si="3"/>
        <v>27108834.56</v>
      </c>
      <c r="AJ13" s="42">
        <v>16915356</v>
      </c>
      <c r="AK13" s="10"/>
      <c r="AL13" s="42">
        <f>AH13-AJ13</f>
        <v>10193478.559999999</v>
      </c>
      <c r="AM13" s="36">
        <f>AL13/AJ13</f>
        <v>0.6026168506296881</v>
      </c>
    </row>
    <row r="14" spans="1:39" ht="36" customHeight="1">
      <c r="A14" s="88" t="s">
        <v>209</v>
      </c>
      <c r="B14" s="40">
        <v>96365.72</v>
      </c>
      <c r="C14" s="41">
        <v>923227</v>
      </c>
      <c r="D14" s="41">
        <v>53143.34</v>
      </c>
      <c r="E14" s="41">
        <v>9194.16</v>
      </c>
      <c r="F14" s="41">
        <v>62389.51</v>
      </c>
      <c r="G14" s="41">
        <v>0</v>
      </c>
      <c r="H14" s="41">
        <v>0</v>
      </c>
      <c r="I14" s="98">
        <f t="shared" si="4"/>
        <v>14336895.65</v>
      </c>
      <c r="J14" s="9"/>
      <c r="K14" s="42">
        <f t="shared" si="1"/>
        <v>15481215.38</v>
      </c>
      <c r="L14" s="10"/>
      <c r="M14" s="10"/>
      <c r="N14" s="39"/>
      <c r="O14" s="10"/>
      <c r="P14" s="10"/>
      <c r="Q14" s="39"/>
      <c r="R14" s="10"/>
      <c r="S14" s="39"/>
      <c r="T14" s="36"/>
      <c r="V14" s="25" t="s">
        <v>209</v>
      </c>
      <c r="W14" s="37">
        <v>4780909</v>
      </c>
      <c r="X14" s="38">
        <v>1547030</v>
      </c>
      <c r="Y14" s="38">
        <v>1033560</v>
      </c>
      <c r="Z14" s="38">
        <v>6500000</v>
      </c>
      <c r="AA14" s="38">
        <v>20683.65</v>
      </c>
      <c r="AB14" s="38">
        <v>411206</v>
      </c>
      <c r="AC14" s="38">
        <v>4665</v>
      </c>
      <c r="AD14" s="38"/>
      <c r="AE14" s="38">
        <v>0</v>
      </c>
      <c r="AF14" s="38">
        <v>38842</v>
      </c>
      <c r="AG14" s="9"/>
      <c r="AH14" s="42">
        <f t="shared" si="3"/>
        <v>14336895.65</v>
      </c>
      <c r="AJ14" s="39"/>
      <c r="AK14" s="10"/>
      <c r="AL14" s="39"/>
      <c r="AM14" s="36"/>
    </row>
    <row r="15" spans="1:39" ht="41.25" customHeight="1">
      <c r="A15" s="88" t="s">
        <v>210</v>
      </c>
      <c r="B15" s="37">
        <f>-3736200.1-367679.44</f>
        <v>-4103879.54</v>
      </c>
      <c r="C15" s="38">
        <f>-388743-504889-953717.86</f>
        <v>-1847349.8599999999</v>
      </c>
      <c r="D15" s="38">
        <v>37462.75</v>
      </c>
      <c r="E15" s="38">
        <v>-3008.86</v>
      </c>
      <c r="F15" s="38">
        <f>479118.93-815081.07</f>
        <v>-335962.13999999996</v>
      </c>
      <c r="G15" s="38">
        <v>-78682</v>
      </c>
      <c r="H15" s="38">
        <f>-59225-1523241.69</f>
        <v>-1582466.69</v>
      </c>
      <c r="I15" s="96">
        <f t="shared" si="4"/>
        <v>5755092.199999998</v>
      </c>
      <c r="J15" s="9"/>
      <c r="K15" s="39">
        <f t="shared" si="1"/>
        <v>-2158794.1400000015</v>
      </c>
      <c r="L15" s="10"/>
      <c r="M15" s="10"/>
      <c r="N15" s="39">
        <f>K15-L15</f>
        <v>-2158794.1400000015</v>
      </c>
      <c r="O15" s="10"/>
      <c r="P15" s="10"/>
      <c r="Q15" s="39">
        <v>35104939</v>
      </c>
      <c r="R15" s="10"/>
      <c r="S15" s="39">
        <f>K15-Q15</f>
        <v>-37263733.14</v>
      </c>
      <c r="T15" s="36">
        <f>S15/Q15</f>
        <v>-1.0614954533890517</v>
      </c>
      <c r="V15" s="25" t="s">
        <v>210</v>
      </c>
      <c r="W15" s="43">
        <f>-57411387.68-8425130.38+7000000</f>
        <v>-58836518.06</v>
      </c>
      <c r="X15" s="38">
        <v>-5040875</v>
      </c>
      <c r="Y15" s="38">
        <f>-80000*3.8</f>
        <v>-304000</v>
      </c>
      <c r="Z15" s="38">
        <v>70614983</v>
      </c>
      <c r="AA15" s="38">
        <v>334895.44</v>
      </c>
      <c r="AB15" s="38">
        <v>-534196</v>
      </c>
      <c r="AC15" s="38">
        <v>-5998</v>
      </c>
      <c r="AD15" s="38">
        <v>-24261</v>
      </c>
      <c r="AE15" s="38">
        <v>-126518.18</v>
      </c>
      <c r="AF15" s="38">
        <v>-322420</v>
      </c>
      <c r="AG15" s="9"/>
      <c r="AH15" s="39">
        <f t="shared" si="3"/>
        <v>5755092.199999998</v>
      </c>
      <c r="AJ15" s="39">
        <v>41925460</v>
      </c>
      <c r="AK15" s="10"/>
      <c r="AL15" s="39">
        <f>AH15-AJ15</f>
        <v>-36170367.800000004</v>
      </c>
      <c r="AM15" s="36">
        <f>AL15/AJ15</f>
        <v>-0.8627303743357856</v>
      </c>
    </row>
    <row r="16" spans="1:39" ht="34.5" customHeight="1">
      <c r="A16" s="88" t="s">
        <v>153</v>
      </c>
      <c r="B16" s="40">
        <v>367679.44</v>
      </c>
      <c r="C16" s="4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98">
        <f t="shared" si="4"/>
        <v>0</v>
      </c>
      <c r="J16" s="9"/>
      <c r="K16" s="42">
        <f t="shared" si="1"/>
        <v>367679.44</v>
      </c>
      <c r="L16" s="10"/>
      <c r="M16" s="10"/>
      <c r="N16" s="42">
        <v>0</v>
      </c>
      <c r="O16" s="10"/>
      <c r="P16" s="10"/>
      <c r="Q16" s="42">
        <v>0</v>
      </c>
      <c r="R16" s="10"/>
      <c r="S16" s="42"/>
      <c r="T16" s="28"/>
      <c r="V16" s="25" t="s">
        <v>153</v>
      </c>
      <c r="W16" s="40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9"/>
      <c r="AH16" s="42">
        <f t="shared" si="3"/>
        <v>0</v>
      </c>
      <c r="AJ16" s="42">
        <v>0</v>
      </c>
      <c r="AK16" s="10"/>
      <c r="AL16" s="42">
        <v>0</v>
      </c>
      <c r="AM16" s="28"/>
    </row>
    <row r="17" spans="1:39" ht="37.5" customHeight="1">
      <c r="A17" s="88" t="s">
        <v>168</v>
      </c>
      <c r="B17" s="37">
        <f>B15+B16</f>
        <v>-3736200.1</v>
      </c>
      <c r="C17" s="38">
        <f aca="true" t="shared" si="5" ref="C17:H17">C15</f>
        <v>-1847349.8599999999</v>
      </c>
      <c r="D17" s="38">
        <f t="shared" si="5"/>
        <v>37462.75</v>
      </c>
      <c r="E17" s="38">
        <f t="shared" si="5"/>
        <v>-3008.86</v>
      </c>
      <c r="F17" s="38">
        <f t="shared" si="5"/>
        <v>-335962.13999999996</v>
      </c>
      <c r="G17" s="38">
        <f t="shared" si="5"/>
        <v>-78682</v>
      </c>
      <c r="H17" s="38">
        <f t="shared" si="5"/>
        <v>-1582466.69</v>
      </c>
      <c r="I17" s="96">
        <f t="shared" si="4"/>
        <v>5755092.199999998</v>
      </c>
      <c r="J17" s="9"/>
      <c r="K17" s="39">
        <f t="shared" si="1"/>
        <v>-1791114.700000002</v>
      </c>
      <c r="L17" s="10"/>
      <c r="M17" s="10"/>
      <c r="N17" s="39">
        <f>N15-N16</f>
        <v>-2158794.1400000015</v>
      </c>
      <c r="O17" s="10"/>
      <c r="P17" s="10"/>
      <c r="Q17" s="39">
        <f>Q15-Q16</f>
        <v>35104939</v>
      </c>
      <c r="R17" s="10"/>
      <c r="S17" s="39">
        <f>K17-Q17</f>
        <v>-36896053.7</v>
      </c>
      <c r="T17" s="36">
        <f>S17/Q17</f>
        <v>-1.0510217294495228</v>
      </c>
      <c r="V17" s="25" t="s">
        <v>168</v>
      </c>
      <c r="W17" s="37">
        <f aca="true" t="shared" si="6" ref="W17:AF17">W15-W16</f>
        <v>-58836518.06</v>
      </c>
      <c r="X17" s="38">
        <f t="shared" si="6"/>
        <v>-5040875</v>
      </c>
      <c r="Y17" s="38">
        <f t="shared" si="6"/>
        <v>-304000</v>
      </c>
      <c r="Z17" s="38">
        <f t="shared" si="6"/>
        <v>70614983</v>
      </c>
      <c r="AA17" s="38">
        <f t="shared" si="6"/>
        <v>334895.44</v>
      </c>
      <c r="AB17" s="38">
        <f t="shared" si="6"/>
        <v>-534196</v>
      </c>
      <c r="AC17" s="38">
        <f t="shared" si="6"/>
        <v>-5998</v>
      </c>
      <c r="AD17" s="38">
        <f t="shared" si="6"/>
        <v>-24261</v>
      </c>
      <c r="AE17" s="38">
        <f t="shared" si="6"/>
        <v>-126518.18</v>
      </c>
      <c r="AF17" s="38">
        <f t="shared" si="6"/>
        <v>-322420</v>
      </c>
      <c r="AG17" s="9"/>
      <c r="AH17" s="39">
        <f t="shared" si="3"/>
        <v>5755092.199999998</v>
      </c>
      <c r="AJ17" s="39">
        <f>AJ15-AJ16</f>
        <v>41925460</v>
      </c>
      <c r="AK17" s="10"/>
      <c r="AL17" s="39">
        <f>AH17-AJ17</f>
        <v>-36170367.800000004</v>
      </c>
      <c r="AM17" s="36">
        <f>AL17/AJ17</f>
        <v>-0.8627303743357856</v>
      </c>
    </row>
    <row r="18" spans="1:39" ht="35.25" customHeight="1">
      <c r="A18" s="88" t="s">
        <v>211</v>
      </c>
      <c r="B18" s="40">
        <v>0</v>
      </c>
      <c r="C18" s="41">
        <v>0</v>
      </c>
      <c r="D18" s="41">
        <f>D17*0.4</f>
        <v>14985.1</v>
      </c>
      <c r="E18" s="41">
        <f>E17*0.4</f>
        <v>-1203.544</v>
      </c>
      <c r="F18" s="41">
        <v>0</v>
      </c>
      <c r="G18" s="41">
        <v>0</v>
      </c>
      <c r="H18" s="41">
        <v>0</v>
      </c>
      <c r="I18" s="98">
        <f t="shared" si="4"/>
        <v>41514882.396753415</v>
      </c>
      <c r="J18" s="9"/>
      <c r="K18" s="42">
        <f t="shared" si="1"/>
        <v>41528663.95275342</v>
      </c>
      <c r="L18" s="10"/>
      <c r="M18" s="10"/>
      <c r="N18" s="42">
        <f>K18</f>
        <v>41528663.95275342</v>
      </c>
      <c r="O18" s="10"/>
      <c r="P18" s="10"/>
      <c r="Q18" s="42">
        <v>28609038</v>
      </c>
      <c r="R18" s="10"/>
      <c r="S18" s="42">
        <f>K18-Q18</f>
        <v>12919625.952753417</v>
      </c>
      <c r="T18" s="36">
        <f>S18/Q18</f>
        <v>0.4515924636387081</v>
      </c>
      <c r="V18" s="25" t="s">
        <v>211</v>
      </c>
      <c r="W18" s="40">
        <v>0</v>
      </c>
      <c r="X18" s="100">
        <f>X17*0.1193*298/365</f>
        <v>-490986.7492465754</v>
      </c>
      <c r="Y18" s="41">
        <f>Y17*0.4</f>
        <v>-121600</v>
      </c>
      <c r="Z18" s="41">
        <f>Z17*0.6</f>
        <v>42368989.8</v>
      </c>
      <c r="AA18" s="41">
        <v>0</v>
      </c>
      <c r="AB18" s="41">
        <f>AB17*0.2</f>
        <v>-106839.20000000001</v>
      </c>
      <c r="AC18" s="41">
        <v>0</v>
      </c>
      <c r="AD18" s="41">
        <v>0</v>
      </c>
      <c r="AE18" s="41">
        <f>AE17*0.3</f>
        <v>-37955.454</v>
      </c>
      <c r="AF18" s="41">
        <f>AF17*0.3</f>
        <v>-96726</v>
      </c>
      <c r="AG18" s="9"/>
      <c r="AH18" s="42">
        <f t="shared" si="3"/>
        <v>41514882.396753415</v>
      </c>
      <c r="AJ18" s="42">
        <v>28592382</v>
      </c>
      <c r="AK18" s="10"/>
      <c r="AL18" s="42">
        <f>AH18-AJ18</f>
        <v>12922500.396753415</v>
      </c>
      <c r="AM18" s="36">
        <f>AL18/AJ18</f>
        <v>0.4519560628685436</v>
      </c>
    </row>
    <row r="19" spans="1:39" ht="42" customHeight="1" thickBot="1">
      <c r="A19" s="92" t="s">
        <v>212</v>
      </c>
      <c r="B19" s="46">
        <f>B17</f>
        <v>-3736200.1</v>
      </c>
      <c r="C19" s="47">
        <f>C17</f>
        <v>-1847349.8599999999</v>
      </c>
      <c r="D19" s="47">
        <f>D17-D18</f>
        <v>22477.65</v>
      </c>
      <c r="E19" s="47">
        <f>E17-E18</f>
        <v>-1805.316</v>
      </c>
      <c r="F19" s="47">
        <f>F17</f>
        <v>-335962.13999999996</v>
      </c>
      <c r="G19" s="47">
        <f>G17</f>
        <v>-78682</v>
      </c>
      <c r="H19" s="47">
        <f>H17</f>
        <v>-1582466.69</v>
      </c>
      <c r="I19" s="99">
        <f t="shared" si="4"/>
        <v>-35759790.19675343</v>
      </c>
      <c r="J19" s="9"/>
      <c r="K19" s="48">
        <f t="shared" si="1"/>
        <v>-43319778.65275343</v>
      </c>
      <c r="L19" s="10"/>
      <c r="M19" s="10"/>
      <c r="N19" s="48">
        <f>N17-N18</f>
        <v>-43687458.09275342</v>
      </c>
      <c r="O19" s="10"/>
      <c r="P19" s="10"/>
      <c r="Q19" s="48">
        <f>Q17-Q18</f>
        <v>6495901</v>
      </c>
      <c r="R19" s="10"/>
      <c r="S19" s="48">
        <f>K19-Q19</f>
        <v>-49815679.65275343</v>
      </c>
      <c r="T19" s="49">
        <f>S19/Q19</f>
        <v>-7.668786770727175</v>
      </c>
      <c r="V19" s="45" t="s">
        <v>212</v>
      </c>
      <c r="W19" s="46">
        <f aca="true" t="shared" si="7" ref="W19:AF19">W17-W18</f>
        <v>-58836518.06</v>
      </c>
      <c r="X19" s="47">
        <f t="shared" si="7"/>
        <v>-4549888.250753425</v>
      </c>
      <c r="Y19" s="47">
        <f t="shared" si="7"/>
        <v>-182400</v>
      </c>
      <c r="Z19" s="47">
        <f t="shared" si="7"/>
        <v>28245993.200000003</v>
      </c>
      <c r="AA19" s="47">
        <f t="shared" si="7"/>
        <v>334895.44</v>
      </c>
      <c r="AB19" s="47">
        <f t="shared" si="7"/>
        <v>-427356.8</v>
      </c>
      <c r="AC19" s="47">
        <f t="shared" si="7"/>
        <v>-5998</v>
      </c>
      <c r="AD19" s="47">
        <f t="shared" si="7"/>
        <v>-24261</v>
      </c>
      <c r="AE19" s="47">
        <f t="shared" si="7"/>
        <v>-88562.726</v>
      </c>
      <c r="AF19" s="47">
        <f t="shared" si="7"/>
        <v>-225694</v>
      </c>
      <c r="AG19" s="9"/>
      <c r="AH19" s="48">
        <f t="shared" si="3"/>
        <v>-35759790.19675343</v>
      </c>
      <c r="AJ19" s="48">
        <f>AJ17-AJ18</f>
        <v>13333078</v>
      </c>
      <c r="AK19" s="10"/>
      <c r="AL19" s="48">
        <f>AH19-AJ19</f>
        <v>-49092868.19675343</v>
      </c>
      <c r="AM19" s="49">
        <f>AL19/AJ19</f>
        <v>-3.68203562573874</v>
      </c>
    </row>
    <row r="20" spans="1:33" ht="26.25" customHeight="1">
      <c r="A20" s="50"/>
      <c r="V20" t="s">
        <v>304</v>
      </c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4"/>
      <c r="K25"/>
      <c r="L25"/>
      <c r="M25"/>
      <c r="N25"/>
      <c r="O25" s="14"/>
      <c r="P25"/>
      <c r="Q25"/>
      <c r="R25"/>
      <c r="S25"/>
      <c r="T25" s="3"/>
      <c r="U25"/>
      <c r="AG25" s="26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4"/>
      <c r="B54" s="51"/>
    </row>
    <row r="55" spans="1:2" ht="12.75">
      <c r="A55" s="14"/>
      <c r="B55" s="51"/>
    </row>
    <row r="56" spans="1:2" ht="12.75">
      <c r="A56" s="14"/>
      <c r="B56" s="51"/>
    </row>
    <row r="57" spans="1:2" ht="12.75">
      <c r="A57" s="14"/>
      <c r="B57" s="51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Erica S. Fernando</cp:lastModifiedBy>
  <cp:lastPrinted>2005-02-28T10:18:30Z</cp:lastPrinted>
  <dcterms:created xsi:type="dcterms:W3CDTF">1999-11-26T07:09:59Z</dcterms:created>
  <dcterms:modified xsi:type="dcterms:W3CDTF">2005-03-01T19:46:13Z</dcterms:modified>
  <cp:category/>
  <cp:version/>
  <cp:contentType/>
  <cp:contentStatus/>
</cp:coreProperties>
</file>